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45" windowWidth="1519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<sst xmlns="http://schemas.openxmlformats.org/spreadsheetml/2006/main" count="286" uniqueCount="159">
  <si>
    <t xml:space="preserve">         Мост      Вина</t>
  </si>
  <si>
    <t>Введите  частоту  в  ( Гц ) :</t>
  </si>
  <si>
    <t>C ( Нф ) =</t>
  </si>
  <si>
    <t>Введите сопротивление   :( Ком )</t>
  </si>
  <si>
    <t>R ( Ком)=</t>
  </si>
  <si>
    <t xml:space="preserve"> Введите значение C (нф) : </t>
  </si>
  <si>
    <t>F ( Гц ) =</t>
  </si>
  <si>
    <t>Расчет  согласования</t>
  </si>
  <si>
    <t>с помощью П-контура .</t>
  </si>
  <si>
    <t>Введите выходное сопрот.  источника : (Ом)</t>
  </si>
  <si>
    <t>C1(Пкф)=</t>
  </si>
  <si>
    <t>Введите входное сопротивление  нагрузки :(Ом)</t>
  </si>
  <si>
    <t>L(Нгн) =</t>
  </si>
  <si>
    <t>Введите добротность   контура  :</t>
  </si>
  <si>
    <t>C2(Пкф)=</t>
  </si>
  <si>
    <t>Введите  среднюю частоту  в  ( Мгц ) :</t>
  </si>
  <si>
    <t xml:space="preserve">  Kt U =</t>
  </si>
  <si>
    <t>КтрU</t>
  </si>
  <si>
    <t xml:space="preserve">W = </t>
  </si>
  <si>
    <t>RL =</t>
  </si>
  <si>
    <t>x31 =</t>
  </si>
  <si>
    <t xml:space="preserve">Q2 = </t>
  </si>
  <si>
    <t>X2 =</t>
  </si>
  <si>
    <t>X32 =</t>
  </si>
  <si>
    <t>X3 =</t>
  </si>
  <si>
    <t>Введите входное напряжение:(Вольт)</t>
  </si>
  <si>
    <t>U Вых =</t>
  </si>
  <si>
    <t xml:space="preserve"> Введите верхнюю частоту  (мгц) =  f2</t>
  </si>
  <si>
    <t>Lk(Мкгн)=</t>
  </si>
  <si>
    <t xml:space="preserve"> Введите нижнюю частоту  (мгц)  =  f1</t>
  </si>
  <si>
    <t xml:space="preserve"> Введите значение DC (пф) =    DC</t>
  </si>
  <si>
    <t xml:space="preserve"> Введите значение C (пф) &lt;=  </t>
  </si>
  <si>
    <t>rz9ae@mail.ru</t>
  </si>
  <si>
    <t>В некоторых случаях представляет интерес определение термостабильной точки</t>
  </si>
  <si>
    <t>Необходимо напомнить, что температурный коэффициент тока стока , при Uси и Uзи = Const.,</t>
  </si>
  <si>
    <t>для данного типа транзисторов меняет свой знак в термостабильной точке с отрицательного</t>
  </si>
  <si>
    <t>на положительный при движении по характеристике  от начального тока Jo = J max  до J min.</t>
  </si>
  <si>
    <t>Т.е. с  правой стороны от этой точки при нагревании  ток падает, а с левой начинает расти.</t>
  </si>
  <si>
    <t>При токе через транзистор близком к максимальному,  температура кристалла также будет</t>
  </si>
  <si>
    <t>близка к максимальной, при данной окружающей температуре, Соответственно, ток стока</t>
  </si>
  <si>
    <t>будет меньше его теоретического значения в данной точке.</t>
  </si>
  <si>
    <t>Для ускорения и облегчения определения ТСТ и приведено данное приложение.</t>
  </si>
  <si>
    <t>Попутно определяются и другие, нижеприведённые, характеристики.</t>
  </si>
  <si>
    <t>Перед началом измерений параметров  предварительно берём  минимум два высокоточных</t>
  </si>
  <si>
    <t>резистора, или измеряем  два любых подходящих с максимальной точностью, и, поочерёдно</t>
  </si>
  <si>
    <t>включая их в цепь истока при заземлённом затворе, снимаем показания падения на них напря-</t>
  </si>
  <si>
    <t>жения высокоомным вольтметром, и заносим данные в соответствующие ячейки.</t>
  </si>
  <si>
    <t>Для уменьшения  влияния на точность измерений от саморазогрева кристалла, номинал данных</t>
  </si>
  <si>
    <t>При невысокой точности контрольных приборов, нужно сделать несколько парных измерений</t>
  </si>
  <si>
    <t>и усреднить результат.  Если резисторы подпаиваются к схеме,  дать выдержку на остывание.</t>
  </si>
  <si>
    <t>установив  резистор расчётного значения в цепь истока, и , нагревая лампой тестовую схему,</t>
  </si>
  <si>
    <t>проконтролировать на этом резисторе величину изменения напряжения и его знак.</t>
  </si>
  <si>
    <t>При повышенных требованиях токозадающий резистор должен быть термостабильным.</t>
  </si>
  <si>
    <t>R1=</t>
  </si>
  <si>
    <t>Ugs1=</t>
  </si>
  <si>
    <t>R2=</t>
  </si>
  <si>
    <t>Ugs2=</t>
  </si>
  <si>
    <t>JDS=</t>
  </si>
  <si>
    <t>Jt1=</t>
  </si>
  <si>
    <t>U1t=</t>
  </si>
  <si>
    <t>Rt1=</t>
  </si>
  <si>
    <t>Jt2=</t>
  </si>
  <si>
    <t>U2t=</t>
  </si>
  <si>
    <t>Rt2=</t>
  </si>
  <si>
    <t>J1=</t>
  </si>
  <si>
    <t>J2=</t>
  </si>
  <si>
    <t>Начальный ток Jo</t>
  </si>
  <si>
    <t>Крутизна Smax. =</t>
  </si>
  <si>
    <t>Напр. Отсечки Uo =</t>
  </si>
  <si>
    <t>Крутизна Sstab=</t>
  </si>
  <si>
    <t>Rстаб.точки Rst=</t>
  </si>
  <si>
    <t>Ток в стаб.точке=</t>
  </si>
  <si>
    <t>Напряж.стаб.точ.=</t>
  </si>
  <si>
    <t>Uотс. - Uзи. Стаб.т.</t>
  </si>
  <si>
    <t>Up1=</t>
  </si>
  <si>
    <t>S1=</t>
  </si>
  <si>
    <t>S1m=</t>
  </si>
  <si>
    <t>Up2=</t>
  </si>
  <si>
    <t>S2=</t>
  </si>
  <si>
    <t>S2m=</t>
  </si>
  <si>
    <t>dUстока=</t>
  </si>
  <si>
    <t>v</t>
  </si>
  <si>
    <t>dJстока=</t>
  </si>
  <si>
    <t>ma</t>
  </si>
  <si>
    <t>dUз.и.=</t>
  </si>
  <si>
    <t>Dj Rст.т.=</t>
  </si>
  <si>
    <t>Kst=</t>
  </si>
  <si>
    <t>Rdop=</t>
  </si>
  <si>
    <t>KOM</t>
  </si>
  <si>
    <t xml:space="preserve">   V</t>
  </si>
  <si>
    <t xml:space="preserve"> V</t>
  </si>
  <si>
    <t>Если при нагреве напряжение падает, номинал резистора надо увеличить и наоборот.</t>
  </si>
  <si>
    <t xml:space="preserve">                    РАСЧЕТ  СИММЕТРИЧНЫХ ( Rвх. = Rвых.)  АТТЕНЮАТОРОВ</t>
  </si>
  <si>
    <t>D (db) =</t>
  </si>
  <si>
    <t>Db</t>
  </si>
  <si>
    <t>Zn =R in/out</t>
  </si>
  <si>
    <t>Ом</t>
  </si>
  <si>
    <t>R 1=</t>
  </si>
  <si>
    <t>R 3=</t>
  </si>
  <si>
    <t>K =</t>
  </si>
  <si>
    <t>Раз</t>
  </si>
  <si>
    <t>R 1' 2 =</t>
  </si>
  <si>
    <t>R 1' 3 =</t>
  </si>
  <si>
    <t xml:space="preserve"> Памяти брата Александра - RV9BB  посвящается.</t>
  </si>
  <si>
    <t>Если известно   Uстока в рабочей схеме относительно обшей шины ,  ТСТ нужно искать при нём!</t>
  </si>
  <si>
    <t>Uзи=</t>
  </si>
  <si>
    <t>mA / V</t>
  </si>
  <si>
    <t>OM</t>
  </si>
  <si>
    <t>mA</t>
  </si>
  <si>
    <t>Требуемый ток стока ( Jd &lt;= Jo )</t>
  </si>
  <si>
    <t>R в истоке при  данном токе =</t>
  </si>
  <si>
    <t>Крутизна в данной точке: S =</t>
  </si>
  <si>
    <t>В нижней части таблицы можно рассчитать значение сопротивления резистора в истоке</t>
  </si>
  <si>
    <t>а также определить статическую крутизну транзистора при этом токе стока.</t>
  </si>
  <si>
    <t>Частота паразитного параллельного резонанса катушки ( МГц ) =</t>
  </si>
  <si>
    <t>Схема измерений представлена на рисунке 2.</t>
  </si>
  <si>
    <t xml:space="preserve"> надо подключить к L известную емкость C и измерить F верхн,</t>
  </si>
  <si>
    <t xml:space="preserve"> затем подключить дополнительную ёмкость DC и измерить F нижн.</t>
  </si>
  <si>
    <t xml:space="preserve">     Определение параметров контура по известным F1,F2,DC,C.</t>
  </si>
  <si>
    <r>
      <t xml:space="preserve">резисторов не должен задавать ток стока более 20% от максимального при Uси = 5 </t>
    </r>
    <r>
      <rPr>
        <sz val="10"/>
        <rFont val="Arial Cyr"/>
        <family val="0"/>
      </rPr>
      <t xml:space="preserve">÷ </t>
    </r>
    <r>
      <rPr>
        <sz val="10"/>
        <rFont val="Arial Cyr"/>
        <family val="0"/>
      </rPr>
      <t>9 вольт.</t>
    </r>
  </si>
  <si>
    <t>Измерения производятся на последовательном резонансе контура LC.</t>
  </si>
  <si>
    <t>Сo катушки (Пкф)=</t>
  </si>
  <si>
    <t>Для определения индуктивности катушки и её паразитной емкости Co</t>
  </si>
  <si>
    <t>для получения заданного тока стока, величина которого не должна быть больше  тока Jo,</t>
  </si>
  <si>
    <t xml:space="preserve">           с RC цепочкой,  и микроамперметр или цифровой вольтметр, можно и  просто осциллограф.</t>
  </si>
  <si>
    <r>
      <t xml:space="preserve"> </t>
    </r>
    <r>
      <rPr>
        <b/>
        <sz val="10"/>
        <color indexed="10"/>
        <rFont val="Arial Cyr"/>
        <family val="0"/>
      </rPr>
      <t>Примечание:</t>
    </r>
    <r>
      <rPr>
        <sz val="10"/>
        <rFont val="Arial Cyr"/>
        <family val="2"/>
      </rPr>
      <t xml:space="preserve">   В качестве индикатора резонанса можно применить набор из ВЧ диода (  Д311 )</t>
    </r>
  </si>
  <si>
    <t xml:space="preserve">           Даже в последнем варианте точность определения достаточна для любительских целей.</t>
  </si>
  <si>
    <r>
      <t xml:space="preserve">              </t>
    </r>
    <r>
      <rPr>
        <sz val="10"/>
        <rFont val="Arial Cyr"/>
        <family val="0"/>
      </rPr>
      <t xml:space="preserve"> Последний пункт в таблице может быть полезен при проверке " на вшивость" любого </t>
    </r>
  </si>
  <si>
    <t xml:space="preserve">           дросселя, устанавливаемого в ответственное место, например анодного в PA.</t>
  </si>
  <si>
    <t>Далее остаётся прочесть  данные расчёта из таблицы ( зелёные ячейки ) и проверить практически,</t>
  </si>
  <si>
    <t xml:space="preserve"> Определение термостабильной точки и других </t>
  </si>
  <si>
    <t>Транзисторы типа КП 103, 302, 303, 307, 312, 601, 903 и. т. д.</t>
  </si>
  <si>
    <t>( ТСТ ) на  характеристике  полевого транзистора с P/N переходами.</t>
  </si>
  <si>
    <r>
      <t xml:space="preserve"> </t>
    </r>
    <r>
      <rPr>
        <b/>
        <sz val="10"/>
        <color indexed="10"/>
        <rFont val="Arial Cyr"/>
        <family val="0"/>
      </rPr>
      <t>Примечание:</t>
    </r>
    <r>
      <rPr>
        <sz val="10"/>
        <rFont val="Arial Cyr"/>
        <family val="2"/>
      </rPr>
      <t xml:space="preserve">   Формулы для расчёта аттенюаторов были взяты из книги В.П. Дьяконова:</t>
    </r>
  </si>
  <si>
    <t>"Программы и расчёты на БЕЙСИКЕ для ЭВМ…..".</t>
  </si>
  <si>
    <t>название забыл( книга утеряна ). При использовании прибора В7-38( кл.т. 0.04%) расхождение</t>
  </si>
  <si>
    <t>Формулы были  взяты из книги , авторы ТИТЦЕ и ШЕНК, издательство"МИР", год около1983, а вот</t>
  </si>
  <si>
    <t xml:space="preserve">практики с расчётом напряжения Uзи в термостабильной точке составляло 1- 2 Мв </t>
  </si>
  <si>
    <t xml:space="preserve">       параметров  полевых транзисторов c P/N переходами</t>
  </si>
  <si>
    <t xml:space="preserve">           и другие полезные расчёты для радиолюбителей.</t>
  </si>
  <si>
    <r>
      <t xml:space="preserve">Примечание: </t>
    </r>
    <r>
      <rPr>
        <b/>
        <sz val="10"/>
        <color indexed="12"/>
        <rFont val="MS Sans Serif"/>
        <family val="2"/>
      </rPr>
      <t>Сделаны дополнения и исправления в расчётах.</t>
    </r>
  </si>
  <si>
    <t>Эффективная мощность на выходе (Ватт )</t>
  </si>
  <si>
    <t>C(nF ) =</t>
  </si>
  <si>
    <t>R (Kom) =</t>
  </si>
  <si>
    <t>F ( Hz ) =</t>
  </si>
  <si>
    <t>C1(pF)=</t>
  </si>
  <si>
    <t>L(nH) =</t>
  </si>
  <si>
    <t>C2(pF)=</t>
  </si>
  <si>
    <t>Uout =</t>
  </si>
  <si>
    <t xml:space="preserve"> Pout =</t>
  </si>
  <si>
    <r>
      <t>Lk(</t>
    </r>
    <r>
      <rPr>
        <b/>
        <sz val="10"/>
        <rFont val="Arial Cyr"/>
        <family val="0"/>
      </rPr>
      <t>µ</t>
    </r>
    <r>
      <rPr>
        <b/>
        <sz val="10"/>
        <rFont val="Courier New Cyr"/>
        <family val="3"/>
      </rPr>
      <t>H)=</t>
    </r>
  </si>
  <si>
    <t>Сo катушки (pF)=</t>
  </si>
  <si>
    <t>Частота паразитного параллельного резонанса катушки ( MHz ) =</t>
  </si>
  <si>
    <t xml:space="preserve"> Введите верхнюю частоту  (MHz) =  f2</t>
  </si>
  <si>
    <t xml:space="preserve"> Введите нижнюю частоту  (MHz)  =  f1</t>
  </si>
  <si>
    <t xml:space="preserve"> Введите значение DC (pF) =    DC</t>
  </si>
  <si>
    <t xml:space="preserve"> Введите значение C (pF) &lt;=  </t>
  </si>
  <si>
    <t>Измерения производятся на параллельном резонансе контура LC.</t>
  </si>
  <si>
    <t>( По минимуму напряжения на резисторе R2 ).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</si>
</sst>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10"/>
      <name val="Courier New Cyr"/>
      <family val="3"/>
    </font>
    <font>
      <b/>
      <sz val="14"/>
      <name val="Courier New"/>
      <family val="3"/>
    </font>
    <font>
      <b/>
      <sz val="11"/>
      <name val="Courier New Cyr"/>
      <family val="3"/>
    </font>
    <font>
      <b/>
      <sz val="11"/>
      <name val="Arial Cyr"/>
      <family val="0"/>
    </font>
    <font>
      <b/>
      <sz val="10"/>
      <name val="Symbol"/>
      <family val="1"/>
    </font>
    <font>
      <sz val="8"/>
      <name val="Arial Cyr"/>
      <family val="0"/>
    </font>
    <font>
      <sz val="9"/>
      <name val="Courier New Cyr"/>
      <family val="3"/>
    </font>
    <font>
      <u val="single"/>
      <sz val="10"/>
      <color indexed="12"/>
      <name val="MS Sans Serif"/>
      <family val="0"/>
    </font>
    <font>
      <sz val="13.5"/>
      <name val="MS Sans Serif"/>
      <family val="0"/>
    </font>
    <font>
      <sz val="10"/>
      <color indexed="12"/>
      <name val="MS Sans Serif"/>
      <family val="0"/>
    </font>
    <font>
      <sz val="13.5"/>
      <color indexed="12"/>
      <name val="MS Sans Serif"/>
      <family val="0"/>
    </font>
    <font>
      <b/>
      <sz val="10"/>
      <color indexed="10"/>
      <name val="Arial Cyr"/>
      <family val="0"/>
    </font>
    <font>
      <b/>
      <sz val="12"/>
      <name val="Arial Cyr"/>
      <family val="2"/>
    </font>
    <font>
      <u val="single"/>
      <sz val="10"/>
      <color indexed="36"/>
      <name val="Arial Cyr"/>
      <family val="0"/>
    </font>
    <font>
      <b/>
      <sz val="10"/>
      <color indexed="10"/>
      <name val="Courier New Cyr"/>
      <family val="3"/>
    </font>
    <font>
      <sz val="10"/>
      <name val="Courier New Cyr"/>
      <family val="3"/>
    </font>
    <font>
      <sz val="10"/>
      <color indexed="10"/>
      <name val="Arial Cyr"/>
      <family val="0"/>
    </font>
    <font>
      <sz val="13.5"/>
      <color indexed="10"/>
      <name val="MS Sans Serif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MS Sans Serif"/>
      <family val="0"/>
    </font>
    <font>
      <b/>
      <sz val="12"/>
      <color indexed="12"/>
      <name val="MS Sans Serif"/>
      <family val="2"/>
    </font>
    <font>
      <b/>
      <sz val="10"/>
      <color indexed="12"/>
      <name val="MS Sans Serif"/>
      <family val="2"/>
    </font>
    <font>
      <b/>
      <i/>
      <sz val="11"/>
      <color indexed="60"/>
      <name val="Arial Cyr"/>
      <family val="0"/>
    </font>
    <font>
      <u val="single"/>
      <sz val="11"/>
      <color indexed="12"/>
      <name val="MS Sans Serif"/>
      <family val="0"/>
    </font>
    <font>
      <b/>
      <sz val="10"/>
      <color indexed="8"/>
      <name val="Courier New Cyr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6" borderId="3" xfId="0" applyFont="1" applyFill="1" applyBorder="1" applyAlignment="1" applyProtection="1">
      <alignment/>
      <protection locked="0"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 applyProtection="1">
      <alignment/>
      <protection hidden="1"/>
    </xf>
    <xf numFmtId="0" fontId="2" fillId="7" borderId="8" xfId="0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7" borderId="9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6" borderId="0" xfId="0" applyFont="1" applyFill="1" applyBorder="1" applyAlignment="1" applyProtection="1">
      <alignment/>
      <protection locked="0"/>
    </xf>
    <xf numFmtId="0" fontId="2" fillId="3" borderId="0" xfId="0" applyFont="1" applyFill="1" applyBorder="1" applyAlignment="1">
      <alignment/>
    </xf>
    <xf numFmtId="0" fontId="0" fillId="2" borderId="10" xfId="0" applyFill="1" applyBorder="1" applyAlignment="1">
      <alignment horizontal="left"/>
    </xf>
    <xf numFmtId="0" fontId="1" fillId="6" borderId="3" xfId="0" applyFont="1" applyFill="1" applyBorder="1" applyAlignment="1" applyProtection="1">
      <alignment/>
      <protection locked="0"/>
    </xf>
    <xf numFmtId="0" fontId="0" fillId="2" borderId="7" xfId="0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1" fillId="6" borderId="11" xfId="0" applyFont="1" applyFill="1" applyBorder="1" applyAlignment="1" applyProtection="1">
      <alignment/>
      <protection locked="0"/>
    </xf>
    <xf numFmtId="0" fontId="2" fillId="3" borderId="11" xfId="0" applyFont="1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10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" xfId="0" applyFill="1" applyBorder="1" applyAlignment="1">
      <alignment/>
    </xf>
    <xf numFmtId="0" fontId="11" fillId="8" borderId="3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0" fillId="8" borderId="13" xfId="0" applyFill="1" applyBorder="1" applyAlignment="1">
      <alignment/>
    </xf>
    <xf numFmtId="0" fontId="10" fillId="8" borderId="7" xfId="0" applyFon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13" xfId="0" applyFill="1" applyBorder="1" applyAlignment="1">
      <alignment/>
    </xf>
    <xf numFmtId="0" fontId="0" fillId="9" borderId="3" xfId="0" applyFill="1" applyBorder="1" applyAlignment="1">
      <alignment/>
    </xf>
    <xf numFmtId="0" fontId="2" fillId="10" borderId="5" xfId="0" applyFont="1" applyFill="1" applyBorder="1" applyAlignment="1">
      <alignment/>
    </xf>
    <xf numFmtId="0" fontId="0" fillId="10" borderId="5" xfId="0" applyFill="1" applyBorder="1" applyAlignment="1">
      <alignment/>
    </xf>
    <xf numFmtId="0" fontId="0" fillId="5" borderId="3" xfId="0" applyFill="1" applyBorder="1" applyAlignment="1">
      <alignment/>
    </xf>
    <xf numFmtId="0" fontId="0" fillId="3" borderId="5" xfId="0" applyFill="1" applyBorder="1" applyAlignment="1">
      <alignment/>
    </xf>
    <xf numFmtId="0" fontId="13" fillId="3" borderId="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11" borderId="3" xfId="0" applyFill="1" applyBorder="1" applyAlignment="1" applyProtection="1">
      <alignment/>
      <protection locked="0"/>
    </xf>
    <xf numFmtId="0" fontId="13" fillId="12" borderId="14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11" borderId="3" xfId="0" applyNumberFormat="1" applyFill="1" applyBorder="1" applyAlignment="1" applyProtection="1">
      <alignment horizontal="center"/>
      <protection locked="0"/>
    </xf>
    <xf numFmtId="0" fontId="0" fillId="11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4" fillId="10" borderId="1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5" xfId="0" applyFill="1" applyBorder="1" applyAlignment="1">
      <alignment/>
    </xf>
    <xf numFmtId="0" fontId="13" fillId="3" borderId="16" xfId="0" applyFont="1" applyFill="1" applyBorder="1" applyAlignment="1">
      <alignment/>
    </xf>
    <xf numFmtId="0" fontId="13" fillId="12" borderId="17" xfId="0" applyFont="1" applyFill="1" applyBorder="1" applyAlignment="1">
      <alignment/>
    </xf>
    <xf numFmtId="0" fontId="0" fillId="12" borderId="0" xfId="0" applyFill="1" applyAlignment="1">
      <alignment/>
    </xf>
    <xf numFmtId="0" fontId="0" fillId="5" borderId="12" xfId="0" applyFill="1" applyBorder="1" applyAlignment="1">
      <alignment/>
    </xf>
    <xf numFmtId="0" fontId="0" fillId="12" borderId="18" xfId="0" applyFill="1" applyBorder="1" applyAlignment="1">
      <alignment horizontal="center"/>
    </xf>
    <xf numFmtId="0" fontId="0" fillId="12" borderId="14" xfId="0" applyFill="1" applyBorder="1" applyAlignment="1">
      <alignment/>
    </xf>
    <xf numFmtId="0" fontId="0" fillId="12" borderId="14" xfId="0" applyFill="1" applyBorder="1" applyAlignment="1">
      <alignment horizontal="center"/>
    </xf>
    <xf numFmtId="0" fontId="0" fillId="12" borderId="14" xfId="0" applyFill="1" applyBorder="1" applyAlignment="1">
      <alignment/>
    </xf>
    <xf numFmtId="0" fontId="11" fillId="12" borderId="14" xfId="0" applyFont="1" applyFill="1" applyBorder="1" applyAlignment="1">
      <alignment/>
    </xf>
    <xf numFmtId="0" fontId="0" fillId="12" borderId="19" xfId="0" applyFill="1" applyBorder="1" applyAlignment="1">
      <alignment/>
    </xf>
    <xf numFmtId="0" fontId="2" fillId="4" borderId="12" xfId="0" applyFont="1" applyFill="1" applyBorder="1" applyAlignment="1" applyProtection="1">
      <alignment/>
      <protection hidden="1"/>
    </xf>
    <xf numFmtId="0" fontId="2" fillId="4" borderId="20" xfId="0" applyFont="1" applyFill="1" applyBorder="1" applyAlignment="1" applyProtection="1">
      <alignment/>
      <protection hidden="1"/>
    </xf>
    <xf numFmtId="0" fontId="8" fillId="12" borderId="14" xfId="0" applyFont="1" applyFill="1" applyBorder="1" applyAlignment="1">
      <alignment/>
    </xf>
    <xf numFmtId="0" fontId="14" fillId="12" borderId="14" xfId="0" applyFont="1" applyFill="1" applyBorder="1" applyAlignment="1">
      <alignment/>
    </xf>
    <xf numFmtId="0" fontId="1" fillId="7" borderId="21" xfId="0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0" fillId="12" borderId="0" xfId="0" applyFill="1" applyBorder="1" applyAlignment="1">
      <alignment/>
    </xf>
    <xf numFmtId="0" fontId="1" fillId="12" borderId="0" xfId="0" applyFont="1" applyFill="1" applyBorder="1" applyAlignment="1">
      <alignment/>
    </xf>
    <xf numFmtId="0" fontId="7" fillId="12" borderId="0" xfId="0" applyFont="1" applyFill="1" applyBorder="1" applyAlignment="1" applyProtection="1">
      <alignment/>
      <protection hidden="1"/>
    </xf>
    <xf numFmtId="0" fontId="14" fillId="12" borderId="0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1" fillId="6" borderId="8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>
      <alignment/>
    </xf>
    <xf numFmtId="0" fontId="2" fillId="4" borderId="8" xfId="0" applyFont="1" applyFill="1" applyBorder="1" applyAlignment="1" applyProtection="1">
      <alignment/>
      <protection hidden="1"/>
    </xf>
    <xf numFmtId="0" fontId="2" fillId="12" borderId="0" xfId="0" applyFont="1" applyFill="1" applyBorder="1" applyAlignment="1">
      <alignment/>
    </xf>
    <xf numFmtId="0" fontId="0" fillId="12" borderId="0" xfId="0" applyFill="1" applyBorder="1" applyAlignment="1">
      <alignment horizontal="left"/>
    </xf>
    <xf numFmtId="0" fontId="0" fillId="0" borderId="23" xfId="0" applyBorder="1" applyAlignment="1">
      <alignment/>
    </xf>
    <xf numFmtId="0" fontId="2" fillId="12" borderId="24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6" borderId="8" xfId="0" applyFont="1" applyFill="1" applyBorder="1" applyAlignment="1" applyProtection="1">
      <alignment/>
      <protection locked="0"/>
    </xf>
    <xf numFmtId="0" fontId="0" fillId="12" borderId="15" xfId="0" applyFill="1" applyBorder="1" applyAlignment="1">
      <alignment horizontal="left"/>
    </xf>
    <xf numFmtId="0" fontId="0" fillId="12" borderId="15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4" borderId="11" xfId="0" applyFill="1" applyBorder="1" applyAlignment="1">
      <alignment/>
    </xf>
    <xf numFmtId="0" fontId="0" fillId="5" borderId="0" xfId="0" applyFill="1" applyBorder="1" applyAlignment="1">
      <alignment/>
    </xf>
    <xf numFmtId="0" fontId="0" fillId="12" borderId="12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0" borderId="15" xfId="0" applyFill="1" applyBorder="1" applyAlignment="1">
      <alignment/>
    </xf>
    <xf numFmtId="0" fontId="0" fillId="5" borderId="7" xfId="0" applyFill="1" applyBorder="1" applyAlignment="1">
      <alignment/>
    </xf>
    <xf numFmtId="0" fontId="3" fillId="5" borderId="7" xfId="0" applyFont="1" applyFill="1" applyBorder="1" applyAlignment="1">
      <alignment horizontal="left"/>
    </xf>
    <xf numFmtId="0" fontId="0" fillId="12" borderId="0" xfId="0" applyNumberFormat="1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8" fillId="12" borderId="26" xfId="0" applyFont="1" applyFill="1" applyBorder="1" applyAlignment="1">
      <alignment/>
    </xf>
    <xf numFmtId="0" fontId="0" fillId="11" borderId="3" xfId="0" applyNumberFormat="1" applyFill="1" applyBorder="1" applyAlignment="1" applyProtection="1">
      <alignment horizontal="center"/>
      <protection hidden="1" locked="0"/>
    </xf>
    <xf numFmtId="0" fontId="13" fillId="3" borderId="3" xfId="0" applyFont="1" applyFill="1" applyBorder="1" applyAlignment="1" applyProtection="1">
      <alignment/>
      <protection hidden="1"/>
    </xf>
    <xf numFmtId="0" fontId="1" fillId="4" borderId="3" xfId="0" applyFont="1" applyFill="1" applyBorder="1" applyAlignment="1" applyProtection="1">
      <alignment/>
      <protection hidden="1"/>
    </xf>
    <xf numFmtId="0" fontId="13" fillId="12" borderId="0" xfId="0" applyFont="1" applyFill="1" applyBorder="1" applyAlignment="1">
      <alignment/>
    </xf>
    <xf numFmtId="0" fontId="16" fillId="10" borderId="5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3" fillId="8" borderId="13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0" fontId="18" fillId="3" borderId="27" xfId="0" applyFont="1" applyFill="1" applyBorder="1" applyAlignment="1">
      <alignment horizontal="center"/>
    </xf>
    <xf numFmtId="0" fontId="19" fillId="3" borderId="28" xfId="0" applyFont="1" applyFill="1" applyBorder="1" applyAlignment="1">
      <alignment/>
    </xf>
    <xf numFmtId="0" fontId="18" fillId="3" borderId="28" xfId="0" applyFont="1" applyFill="1" applyBorder="1" applyAlignment="1">
      <alignment/>
    </xf>
    <xf numFmtId="0" fontId="0" fillId="3" borderId="29" xfId="0" applyFill="1" applyBorder="1" applyAlignment="1">
      <alignment/>
    </xf>
    <xf numFmtId="0" fontId="19" fillId="3" borderId="30" xfId="0" applyFont="1" applyFill="1" applyBorder="1" applyAlignment="1">
      <alignment/>
    </xf>
    <xf numFmtId="0" fontId="18" fillId="3" borderId="31" xfId="0" applyFont="1" applyFill="1" applyBorder="1" applyAlignment="1">
      <alignment/>
    </xf>
    <xf numFmtId="0" fontId="0" fillId="3" borderId="32" xfId="0" applyFill="1" applyBorder="1" applyAlignment="1">
      <alignment/>
    </xf>
    <xf numFmtId="0" fontId="0" fillId="8" borderId="20" xfId="0" applyFont="1" applyFill="1" applyBorder="1" applyAlignment="1" applyProtection="1">
      <alignment/>
      <protection hidden="1"/>
    </xf>
    <xf numFmtId="0" fontId="0" fillId="8" borderId="10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22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33" xfId="0" applyFont="1" applyFill="1" applyBorder="1" applyAlignment="1" applyProtection="1">
      <alignment/>
      <protection hidden="1"/>
    </xf>
    <xf numFmtId="0" fontId="0" fillId="8" borderId="0" xfId="0" applyFont="1" applyFill="1" applyBorder="1" applyAlignment="1">
      <alignment/>
    </xf>
    <xf numFmtId="0" fontId="17" fillId="8" borderId="0" xfId="0" applyFont="1" applyFill="1" applyBorder="1" applyAlignment="1">
      <alignment/>
    </xf>
    <xf numFmtId="0" fontId="7" fillId="8" borderId="33" xfId="0" applyFont="1" applyFill="1" applyBorder="1" applyAlignment="1" applyProtection="1">
      <alignment/>
      <protection hidden="1"/>
    </xf>
    <xf numFmtId="0" fontId="8" fillId="8" borderId="0" xfId="0" applyFont="1" applyFill="1" applyBorder="1" applyAlignment="1">
      <alignment/>
    </xf>
    <xf numFmtId="0" fontId="8" fillId="8" borderId="7" xfId="0" applyFont="1" applyFill="1" applyBorder="1" applyAlignment="1">
      <alignment/>
    </xf>
    <xf numFmtId="0" fontId="1" fillId="8" borderId="12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0" fillId="3" borderId="24" xfId="0" applyFill="1" applyBorder="1" applyAlignment="1">
      <alignment/>
    </xf>
    <xf numFmtId="0" fontId="19" fillId="3" borderId="34" xfId="0" applyFont="1" applyFill="1" applyBorder="1" applyAlignment="1">
      <alignment/>
    </xf>
    <xf numFmtId="0" fontId="21" fillId="2" borderId="35" xfId="0" applyFont="1" applyFill="1" applyBorder="1" applyAlignment="1">
      <alignment/>
    </xf>
    <xf numFmtId="0" fontId="21" fillId="2" borderId="26" xfId="0" applyFont="1" applyFill="1" applyBorder="1" applyAlignment="1">
      <alignment/>
    </xf>
    <xf numFmtId="0" fontId="22" fillId="2" borderId="35" xfId="0" applyFont="1" applyFill="1" applyBorder="1" applyAlignment="1">
      <alignment/>
    </xf>
    <xf numFmtId="0" fontId="13" fillId="3" borderId="4" xfId="0" applyFont="1" applyFill="1" applyBorder="1" applyAlignment="1" applyProtection="1">
      <alignment/>
      <protection hidden="1"/>
    </xf>
    <xf numFmtId="0" fontId="13" fillId="3" borderId="16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5" fillId="14" borderId="35" xfId="0" applyFont="1" applyFill="1" applyBorder="1" applyAlignment="1">
      <alignment/>
    </xf>
    <xf numFmtId="0" fontId="20" fillId="14" borderId="35" xfId="0" applyFont="1" applyFill="1" applyBorder="1" applyAlignment="1">
      <alignment horizontal="center"/>
    </xf>
    <xf numFmtId="0" fontId="26" fillId="14" borderId="35" xfId="15" applyFont="1" applyFill="1" applyBorder="1" applyAlignment="1">
      <alignment horizontal="center"/>
    </xf>
    <xf numFmtId="0" fontId="20" fillId="14" borderId="26" xfId="0" applyFont="1" applyFill="1" applyBorder="1" applyAlignment="1">
      <alignment/>
    </xf>
    <xf numFmtId="0" fontId="16" fillId="3" borderId="3" xfId="0" applyFont="1" applyFill="1" applyBorder="1" applyAlignment="1" applyProtection="1">
      <alignment/>
      <protection hidden="1"/>
    </xf>
    <xf numFmtId="0" fontId="27" fillId="3" borderId="3" xfId="0" applyFont="1" applyFill="1" applyBorder="1" applyAlignment="1" applyProtection="1">
      <alignment/>
      <protection hidden="1"/>
    </xf>
    <xf numFmtId="0" fontId="27" fillId="3" borderId="12" xfId="0" applyFont="1" applyFill="1" applyBorder="1" applyAlignment="1" applyProtection="1">
      <alignment/>
      <protection hidden="1"/>
    </xf>
    <xf numFmtId="0" fontId="16" fillId="3" borderId="20" xfId="0" applyFont="1" applyFill="1" applyBorder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3" borderId="12" xfId="0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3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131</xdr:row>
      <xdr:rowOff>114300</xdr:rowOff>
    </xdr:from>
    <xdr:to>
      <xdr:col>5</xdr:col>
      <xdr:colOff>76200</xdr:colOff>
      <xdr:row>144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278975"/>
          <a:ext cx="3486150" cy="2000250"/>
        </a:xfrm>
        <a:prstGeom prst="rect">
          <a:avLst/>
        </a:prstGeom>
        <a:solidFill>
          <a:srgbClr val="00FFFF">
            <a:alpha val="50000"/>
          </a:srgbClr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144</xdr:row>
      <xdr:rowOff>85725</xdr:rowOff>
    </xdr:from>
    <xdr:to>
      <xdr:col>5</xdr:col>
      <xdr:colOff>85725</xdr:colOff>
      <xdr:row>156</xdr:row>
      <xdr:rowOff>85725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24355425"/>
          <a:ext cx="3486150" cy="1943100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504825</xdr:colOff>
      <xdr:row>47</xdr:row>
      <xdr:rowOff>28575</xdr:rowOff>
    </xdr:from>
    <xdr:to>
      <xdr:col>14</xdr:col>
      <xdr:colOff>514350</xdr:colOff>
      <xdr:row>56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7896225"/>
          <a:ext cx="2752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86</xdr:row>
      <xdr:rowOff>0</xdr:rowOff>
    </xdr:from>
    <xdr:to>
      <xdr:col>9</xdr:col>
      <xdr:colOff>304800</xdr:colOff>
      <xdr:row>99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14516100"/>
          <a:ext cx="593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134</xdr:row>
      <xdr:rowOff>114300</xdr:rowOff>
    </xdr:from>
    <xdr:to>
      <xdr:col>4</xdr:col>
      <xdr:colOff>742950</xdr:colOff>
      <xdr:row>147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583400"/>
          <a:ext cx="3524250" cy="2000250"/>
        </a:xfrm>
        <a:prstGeom prst="rect">
          <a:avLst/>
        </a:prstGeom>
        <a:solidFill>
          <a:srgbClr val="00FFFF">
            <a:alpha val="50000"/>
          </a:srgbClr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147</xdr:row>
      <xdr:rowOff>85725</xdr:rowOff>
    </xdr:from>
    <xdr:to>
      <xdr:col>4</xdr:col>
      <xdr:colOff>752475</xdr:colOff>
      <xdr:row>159</xdr:row>
      <xdr:rowOff>85725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21659850"/>
          <a:ext cx="3524250" cy="1943100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3</xdr:col>
      <xdr:colOff>666750</xdr:colOff>
      <xdr:row>78</xdr:row>
      <xdr:rowOff>95250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086850"/>
          <a:ext cx="27813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38100</xdr:rowOff>
    </xdr:from>
    <xdr:to>
      <xdr:col>8</xdr:col>
      <xdr:colOff>85725</xdr:colOff>
      <xdr:row>101</xdr:row>
      <xdr:rowOff>133350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2525375"/>
          <a:ext cx="52197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I160"/>
  <sheetViews>
    <sheetView windowProtection="1" workbookViewId="0" topLeftCell="A36">
      <selection activeCell="I59" sqref="I59"/>
    </sheetView>
  </sheetViews>
  <sheetFormatPr defaultColWidth="9.00390625" defaultRowHeight="12.75"/>
  <sheetData>
    <row r="34" spans="1:9" ht="19.5">
      <c r="A34" s="124" t="s">
        <v>112</v>
      </c>
      <c r="B34" s="38"/>
      <c r="C34" s="39"/>
      <c r="D34" s="39"/>
      <c r="E34" s="39"/>
      <c r="F34" s="39"/>
      <c r="G34" s="39"/>
      <c r="H34" s="39"/>
      <c r="I34" s="39"/>
    </row>
    <row r="35" spans="1:9" ht="19.5">
      <c r="A35" s="124" t="s">
        <v>123</v>
      </c>
      <c r="B35" s="38"/>
      <c r="C35" s="39"/>
      <c r="D35" s="39"/>
      <c r="E35" s="39"/>
      <c r="F35" s="39"/>
      <c r="G35" s="39"/>
      <c r="H35" s="39"/>
      <c r="I35" s="39"/>
    </row>
    <row r="36" spans="1:9" ht="19.5">
      <c r="A36" s="125" t="s">
        <v>113</v>
      </c>
      <c r="B36" s="38"/>
      <c r="C36" s="39"/>
      <c r="D36" s="39"/>
      <c r="E36" s="39"/>
      <c r="F36" s="39"/>
      <c r="G36" s="39"/>
      <c r="H36" s="39"/>
      <c r="I36" s="39"/>
    </row>
    <row r="37" spans="1:9" ht="12.75">
      <c r="A37" s="119"/>
      <c r="B37" s="120"/>
      <c r="C37" s="121"/>
      <c r="D37" s="28"/>
      <c r="E37" s="28"/>
      <c r="F37" s="28"/>
      <c r="G37" s="28"/>
      <c r="H37" s="28"/>
      <c r="I37" s="28"/>
    </row>
    <row r="38" spans="1:9" ht="12.75">
      <c r="A38" s="75"/>
      <c r="B38" s="75"/>
      <c r="C38" s="75"/>
      <c r="D38" s="105" t="s">
        <v>53</v>
      </c>
      <c r="E38" s="52">
        <v>5.9</v>
      </c>
      <c r="F38" s="44" t="s">
        <v>88</v>
      </c>
      <c r="G38" s="44" t="s">
        <v>54</v>
      </c>
      <c r="H38" s="52">
        <v>1.49</v>
      </c>
      <c r="I38" s="62" t="s">
        <v>89</v>
      </c>
    </row>
    <row r="39" spans="1:9" ht="12.75">
      <c r="A39" s="75"/>
      <c r="B39" s="75"/>
      <c r="C39" s="75"/>
      <c r="D39" s="105" t="s">
        <v>55</v>
      </c>
      <c r="E39" s="52">
        <v>3.703</v>
      </c>
      <c r="F39" s="44" t="s">
        <v>88</v>
      </c>
      <c r="G39" s="44" t="s">
        <v>56</v>
      </c>
      <c r="H39" s="52">
        <v>1.398</v>
      </c>
      <c r="I39" s="62" t="s">
        <v>89</v>
      </c>
    </row>
    <row r="40" spans="1:3" ht="12.75">
      <c r="A40" s="75" t="s">
        <v>57</v>
      </c>
      <c r="B40" s="75">
        <f>(((B58*SQRT(B48))-(B59*SQRT(B47)))/(B58-B59))^2</f>
        <v>5.358447713182687</v>
      </c>
      <c r="C40" s="75"/>
    </row>
    <row r="41" spans="1:3" ht="12.75">
      <c r="A41" s="75" t="s">
        <v>58</v>
      </c>
      <c r="B41" s="75" t="e">
        <f>0.4*0.5*I58</f>
        <v>#DIV/0!</v>
      </c>
      <c r="C41" s="75"/>
    </row>
    <row r="42" spans="1:3" ht="12.75">
      <c r="A42" s="75" t="s">
        <v>59</v>
      </c>
      <c r="B42" s="75" t="e">
        <f>E58*(1-SQRT(B41/B40))</f>
        <v>#DIV/0!</v>
      </c>
      <c r="C42" s="75"/>
    </row>
    <row r="43" spans="1:3" ht="12.75">
      <c r="A43" s="75" t="s">
        <v>60</v>
      </c>
      <c r="B43" s="75" t="e">
        <f>B42/B41</f>
        <v>#DIV/0!</v>
      </c>
      <c r="C43" s="75"/>
    </row>
    <row r="44" spans="1:3" ht="12.75">
      <c r="A44" s="75" t="s">
        <v>61</v>
      </c>
      <c r="B44" s="75">
        <f>0.4*0.5*I59</f>
        <v>0.5917602654421241</v>
      </c>
      <c r="C44" s="75"/>
    </row>
    <row r="45" spans="1:3" ht="12.75">
      <c r="A45" s="75" t="s">
        <v>62</v>
      </c>
      <c r="B45" s="75">
        <f>E59*(1-SQRT(B44/B40))</f>
        <v>1.2707101332546216</v>
      </c>
      <c r="C45" s="75"/>
    </row>
    <row r="46" spans="1:3" ht="12.75">
      <c r="A46" s="75" t="s">
        <v>63</v>
      </c>
      <c r="B46" s="75">
        <f>B45/B44</f>
        <v>2.1473393998585406</v>
      </c>
      <c r="C46" s="75"/>
    </row>
    <row r="47" spans="1:3" ht="12.75">
      <c r="A47" s="75" t="s">
        <v>64</v>
      </c>
      <c r="B47" s="75">
        <f>H38/E38</f>
        <v>0.2525423728813559</v>
      </c>
      <c r="C47" s="75"/>
    </row>
    <row r="48" spans="1:3" ht="13.5" thickBot="1">
      <c r="A48" s="75" t="s">
        <v>65</v>
      </c>
      <c r="B48" s="75">
        <f>H39/E39</f>
        <v>0.3775317310288955</v>
      </c>
      <c r="C48" s="75"/>
    </row>
    <row r="49" spans="1:9" ht="14.25" thickBot="1" thickTop="1">
      <c r="A49" s="75"/>
      <c r="B49" s="75"/>
      <c r="C49" s="75"/>
      <c r="D49" s="75"/>
      <c r="E49" s="45" t="s">
        <v>66</v>
      </c>
      <c r="F49" s="45"/>
      <c r="G49" s="46">
        <f>B40</f>
        <v>5.358447713182687</v>
      </c>
      <c r="H49" s="103" t="s">
        <v>108</v>
      </c>
      <c r="I49" s="44"/>
    </row>
    <row r="50" spans="4:9" ht="14.25" thickBot="1" thickTop="1">
      <c r="D50" s="75"/>
      <c r="E50" s="45" t="s">
        <v>67</v>
      </c>
      <c r="F50" s="45"/>
      <c r="G50" s="46" t="e">
        <f>I58</f>
        <v>#DIV/0!</v>
      </c>
      <c r="H50" s="103" t="s">
        <v>106</v>
      </c>
      <c r="I50" s="44"/>
    </row>
    <row r="51" spans="4:9" ht="14.25" thickBot="1" thickTop="1">
      <c r="D51" s="75"/>
      <c r="E51" s="45" t="s">
        <v>68</v>
      </c>
      <c r="F51" s="45"/>
      <c r="G51" s="46">
        <f>E58</f>
        <v>0</v>
      </c>
      <c r="H51" s="103" t="s">
        <v>90</v>
      </c>
      <c r="I51" s="44"/>
    </row>
    <row r="52" spans="4:9" ht="14.25" thickBot="1" thickTop="1">
      <c r="D52" s="75"/>
      <c r="E52" s="45" t="s">
        <v>69</v>
      </c>
      <c r="F52" s="45"/>
      <c r="G52" s="46" t="e">
        <f>-G59</f>
        <v>#DIV/0!</v>
      </c>
      <c r="H52" s="103" t="s">
        <v>106</v>
      </c>
      <c r="I52" s="44"/>
    </row>
    <row r="53" spans="4:9" ht="14.25" thickBot="1" thickTop="1">
      <c r="D53" s="75"/>
      <c r="E53" s="45" t="s">
        <v>70</v>
      </c>
      <c r="F53" s="45"/>
      <c r="G53" s="46" t="e">
        <f>B43</f>
        <v>#DIV/0!</v>
      </c>
      <c r="H53" s="103" t="s">
        <v>88</v>
      </c>
      <c r="I53" s="44"/>
    </row>
    <row r="54" spans="4:9" ht="14.25" thickBot="1" thickTop="1">
      <c r="D54" s="75"/>
      <c r="E54" s="45" t="s">
        <v>71</v>
      </c>
      <c r="F54" s="45"/>
      <c r="G54" s="46" t="e">
        <f>B41</f>
        <v>#DIV/0!</v>
      </c>
      <c r="H54" s="103" t="s">
        <v>108</v>
      </c>
      <c r="I54" s="44"/>
    </row>
    <row r="55" spans="4:9" ht="14.25" thickBot="1" thickTop="1">
      <c r="D55" s="75"/>
      <c r="E55" s="45" t="s">
        <v>72</v>
      </c>
      <c r="F55" s="45"/>
      <c r="G55" s="46" t="e">
        <f>B42</f>
        <v>#DIV/0!</v>
      </c>
      <c r="H55" s="103" t="s">
        <v>90</v>
      </c>
      <c r="I55" s="44"/>
    </row>
    <row r="56" spans="4:9" ht="13.5" thickTop="1">
      <c r="D56" s="75"/>
      <c r="E56" s="58" t="s">
        <v>73</v>
      </c>
      <c r="F56" s="58"/>
      <c r="G56" s="59" t="e">
        <f>E58-B42</f>
        <v>#DIV/0!</v>
      </c>
      <c r="H56" s="103" t="s">
        <v>90</v>
      </c>
      <c r="I56" s="44"/>
    </row>
    <row r="58" spans="1:9" ht="12.75">
      <c r="A58" t="s">
        <v>54</v>
      </c>
      <c r="B58">
        <f>E38*B47</f>
        <v>1.4899999999999998</v>
      </c>
      <c r="D58" t="s">
        <v>74</v>
      </c>
      <c r="E58">
        <f>L52</f>
        <v>0</v>
      </c>
      <c r="F58" t="s">
        <v>75</v>
      </c>
      <c r="G58" t="e">
        <f>2*B40*(B58-E58)/(E58*E58)</f>
        <v>#DIV/0!</v>
      </c>
      <c r="H58" t="s">
        <v>76</v>
      </c>
      <c r="I58" t="e">
        <f>2*B40/(E58*E58)</f>
        <v>#DIV/0!</v>
      </c>
    </row>
    <row r="59" spans="1:9" ht="12.75">
      <c r="A59" t="s">
        <v>56</v>
      </c>
      <c r="B59">
        <f>E39*B48</f>
        <v>1.398</v>
      </c>
      <c r="D59" t="s">
        <v>77</v>
      </c>
      <c r="E59">
        <f>B59/(1-SQRT(B48/B40))</f>
        <v>1.9031656652882976</v>
      </c>
      <c r="F59" t="s">
        <v>78</v>
      </c>
      <c r="G59" t="e">
        <f>2*B40*(B42-E59)/E59^2</f>
        <v>#DIV/0!</v>
      </c>
      <c r="H59" t="s">
        <v>79</v>
      </c>
      <c r="I59">
        <f>2*B40/E59^2</f>
        <v>2.9588013272106206</v>
      </c>
    </row>
    <row r="62" spans="1:3" ht="12.75">
      <c r="A62" s="41" t="s">
        <v>80</v>
      </c>
      <c r="B62" s="41">
        <v>0.5</v>
      </c>
      <c r="C62" t="s">
        <v>81</v>
      </c>
    </row>
    <row r="63" spans="1:3" ht="12.75">
      <c r="A63" s="41" t="s">
        <v>82</v>
      </c>
      <c r="B63" s="41">
        <v>0.02</v>
      </c>
      <c r="C63" t="s">
        <v>83</v>
      </c>
    </row>
    <row r="64" spans="1:3" ht="12.75">
      <c r="A64" t="s">
        <v>84</v>
      </c>
      <c r="B64" t="e">
        <f>B63/G59</f>
        <v>#DIV/0!</v>
      </c>
      <c r="C64" t="s">
        <v>81</v>
      </c>
    </row>
    <row r="66" spans="1:2" ht="12.75">
      <c r="A66" t="s">
        <v>85</v>
      </c>
      <c r="B66" t="e">
        <f>B64/B43</f>
        <v>#DIV/0!</v>
      </c>
    </row>
    <row r="67" spans="1:2" ht="12.75">
      <c r="A67" t="s">
        <v>86</v>
      </c>
      <c r="B67" t="e">
        <f>G54/B66</f>
        <v>#DIV/0!</v>
      </c>
    </row>
    <row r="68" spans="1:2" ht="12.75">
      <c r="A68" t="s">
        <v>87</v>
      </c>
      <c r="B68" t="e">
        <f>B43*B67*(-1)</f>
        <v>#DIV/0!</v>
      </c>
    </row>
    <row r="70" ht="12.75">
      <c r="A70">
        <f>11-B45</f>
        <v>9.729289866745379</v>
      </c>
    </row>
    <row r="71" ht="12.75">
      <c r="A71" t="e">
        <f>A70/G55</f>
        <v>#DIV/0!</v>
      </c>
    </row>
    <row r="75" spans="1:9" ht="12.75">
      <c r="A75" s="75"/>
      <c r="B75" s="75"/>
      <c r="C75" s="75"/>
      <c r="D75" s="75"/>
      <c r="E75" s="62" t="s">
        <v>109</v>
      </c>
      <c r="F75" s="104"/>
      <c r="G75" s="105"/>
      <c r="H75" s="114">
        <v>3</v>
      </c>
      <c r="I75" s="103" t="s">
        <v>108</v>
      </c>
    </row>
    <row r="76" spans="1:9" ht="12.75">
      <c r="A76" s="75"/>
      <c r="B76" s="75"/>
      <c r="C76" s="75"/>
      <c r="D76" s="75"/>
      <c r="E76" s="75" t="s">
        <v>105</v>
      </c>
      <c r="F76" s="75"/>
      <c r="G76" s="102">
        <f>G51*(1-SQRT(H75/G49))</f>
        <v>0</v>
      </c>
      <c r="H76" s="75"/>
      <c r="I76" s="103"/>
    </row>
    <row r="77" spans="1:9" ht="12.75">
      <c r="A77" s="75"/>
      <c r="B77" s="75"/>
      <c r="C77" s="75"/>
      <c r="D77" s="75"/>
      <c r="E77" s="5" t="s">
        <v>110</v>
      </c>
      <c r="F77" s="5"/>
      <c r="G77" s="5"/>
      <c r="H77" s="115">
        <f>1000*G76/H75</f>
        <v>0</v>
      </c>
      <c r="I77" s="103" t="s">
        <v>107</v>
      </c>
    </row>
    <row r="78" spans="1:9" ht="12.75">
      <c r="A78" s="75"/>
      <c r="B78" s="75"/>
      <c r="C78" s="75"/>
      <c r="D78" s="75"/>
      <c r="E78" s="5" t="s">
        <v>111</v>
      </c>
      <c r="F78" s="5"/>
      <c r="G78" s="5"/>
      <c r="H78" s="115" t="e">
        <f>(G51-G76)*G50</f>
        <v>#DIV/0!</v>
      </c>
      <c r="I78" s="103" t="s">
        <v>106</v>
      </c>
    </row>
    <row r="79" spans="1:9" ht="12.75">
      <c r="A79" s="75"/>
      <c r="B79" s="75"/>
      <c r="C79" s="75"/>
      <c r="D79" s="75"/>
      <c r="E79" s="106"/>
      <c r="F79" s="106"/>
      <c r="G79" s="106"/>
      <c r="H79" s="107"/>
      <c r="I79" s="108"/>
    </row>
    <row r="80" spans="1:9" ht="13.5" thickBot="1">
      <c r="A80" s="75"/>
      <c r="B80" s="75"/>
      <c r="C80" s="75"/>
      <c r="D80" s="75"/>
      <c r="E80" s="75"/>
      <c r="F80" s="75"/>
      <c r="G80" s="75"/>
      <c r="H80" s="75"/>
      <c r="I80" s="75"/>
    </row>
    <row r="81" spans="1:9" ht="15" thickBot="1" thickTop="1">
      <c r="A81" s="75"/>
      <c r="B81" s="118" t="s">
        <v>118</v>
      </c>
      <c r="C81" s="42"/>
      <c r="D81" s="42"/>
      <c r="E81" s="42"/>
      <c r="F81" s="42"/>
      <c r="G81" s="42"/>
      <c r="H81" s="42"/>
      <c r="I81" s="43"/>
    </row>
    <row r="82" spans="1:9" ht="15" thickBot="1" thickTop="1">
      <c r="A82" s="75"/>
      <c r="B82" s="42" t="s">
        <v>122</v>
      </c>
      <c r="C82" s="42"/>
      <c r="D82" s="42"/>
      <c r="E82" s="42"/>
      <c r="F82" s="42"/>
      <c r="G82" s="42"/>
      <c r="H82" s="43"/>
      <c r="I82" s="43"/>
    </row>
    <row r="83" spans="1:9" ht="15" thickBot="1" thickTop="1">
      <c r="A83" s="75"/>
      <c r="B83" s="42" t="s">
        <v>116</v>
      </c>
      <c r="C83" s="42"/>
      <c r="D83" s="42"/>
      <c r="E83" s="42"/>
      <c r="F83" s="42"/>
      <c r="G83" s="42"/>
      <c r="H83" s="42"/>
      <c r="I83" s="43"/>
    </row>
    <row r="84" spans="1:9" ht="15" thickBot="1" thickTop="1">
      <c r="A84" s="75"/>
      <c r="B84" s="79" t="s">
        <v>117</v>
      </c>
      <c r="C84" s="79"/>
      <c r="D84" s="79"/>
      <c r="E84" s="79"/>
      <c r="F84" s="79"/>
      <c r="G84" s="79"/>
      <c r="H84" s="79"/>
      <c r="I84" s="99"/>
    </row>
    <row r="85" spans="1:9" ht="15" thickBot="1" thickTop="1">
      <c r="A85" s="75"/>
      <c r="B85" s="42" t="s">
        <v>120</v>
      </c>
      <c r="C85" s="42"/>
      <c r="D85" s="42"/>
      <c r="E85" s="42"/>
      <c r="F85" s="42"/>
      <c r="G85" s="42"/>
      <c r="H85" s="42"/>
      <c r="I85" s="43"/>
    </row>
    <row r="86" spans="1:9" ht="15" thickBot="1" thickTop="1">
      <c r="A86" s="75"/>
      <c r="B86" s="42" t="s">
        <v>115</v>
      </c>
      <c r="C86" s="42"/>
      <c r="D86" s="42"/>
      <c r="E86" s="42"/>
      <c r="F86" s="42"/>
      <c r="G86" s="42"/>
      <c r="H86" s="42"/>
      <c r="I86" s="43"/>
    </row>
    <row r="87" spans="1:9" ht="13.5" thickTop="1">
      <c r="A87" s="75"/>
      <c r="B87" s="75"/>
      <c r="C87" s="75"/>
      <c r="D87" s="75"/>
      <c r="E87" s="75"/>
      <c r="F87" s="75"/>
      <c r="G87" s="75"/>
      <c r="H87" s="75"/>
      <c r="I87" s="75"/>
    </row>
    <row r="88" spans="1:9" ht="12.75">
      <c r="A88" s="75"/>
      <c r="B88" s="75"/>
      <c r="C88" s="75"/>
      <c r="D88" s="75"/>
      <c r="E88" s="75"/>
      <c r="F88" s="75"/>
      <c r="G88" s="75"/>
      <c r="H88" s="75"/>
      <c r="I88" s="75"/>
    </row>
    <row r="89" spans="1:9" ht="12.75">
      <c r="A89" s="75"/>
      <c r="B89" s="75"/>
      <c r="C89" s="75"/>
      <c r="D89" s="75"/>
      <c r="E89" s="75"/>
      <c r="F89" s="75"/>
      <c r="G89" s="75"/>
      <c r="H89" s="75"/>
      <c r="I89" s="75"/>
    </row>
    <row r="90" spans="1:9" ht="12.75">
      <c r="A90" s="75"/>
      <c r="B90" s="75"/>
      <c r="C90" s="75"/>
      <c r="D90" s="75"/>
      <c r="E90" s="75"/>
      <c r="F90" s="75"/>
      <c r="G90" s="75"/>
      <c r="H90" s="75"/>
      <c r="I90" s="75"/>
    </row>
    <row r="91" ht="12.75">
      <c r="A91" s="76"/>
    </row>
    <row r="92" ht="12.75">
      <c r="A92" s="76"/>
    </row>
    <row r="93" ht="12.75">
      <c r="A93" s="76"/>
    </row>
    <row r="94" ht="12.75">
      <c r="A94" s="76"/>
    </row>
    <row r="95" ht="12.75">
      <c r="A95" s="76"/>
    </row>
    <row r="96" ht="12.75">
      <c r="A96" s="76"/>
    </row>
    <row r="97" ht="12.75">
      <c r="A97" s="76"/>
    </row>
    <row r="98" ht="12.75">
      <c r="A98" s="76"/>
    </row>
    <row r="99" ht="12.75">
      <c r="A99" s="76"/>
    </row>
    <row r="100" spans="1:9" ht="12.75">
      <c r="A100" s="76"/>
      <c r="B100" s="83"/>
      <c r="C100" s="84"/>
      <c r="D100" s="84"/>
      <c r="E100" s="75"/>
      <c r="F100" s="75"/>
      <c r="G100" s="75"/>
      <c r="H100" s="75"/>
      <c r="I100" s="75"/>
    </row>
    <row r="101" spans="1:9" ht="13.5">
      <c r="A101" s="75"/>
      <c r="B101" s="122" t="s">
        <v>27</v>
      </c>
      <c r="C101" s="2"/>
      <c r="D101" s="3"/>
      <c r="E101" s="4"/>
      <c r="F101" s="80">
        <v>7</v>
      </c>
      <c r="G101" s="81"/>
      <c r="H101" s="81" t="s">
        <v>28</v>
      </c>
      <c r="I101" s="82">
        <f>A108*(A106-A107)/F103</f>
        <v>3.773121676944947</v>
      </c>
    </row>
    <row r="102" spans="1:9" ht="13.5">
      <c r="A102" s="75"/>
      <c r="B102" s="122" t="s">
        <v>29</v>
      </c>
      <c r="C102" s="2"/>
      <c r="D102" s="3"/>
      <c r="E102" s="4"/>
      <c r="F102" s="23">
        <v>6.9</v>
      </c>
      <c r="G102" s="14"/>
      <c r="H102" s="14" t="s">
        <v>10</v>
      </c>
      <c r="I102" s="15">
        <f>A108/(F102^2*I101)</f>
        <v>141.00719424460425</v>
      </c>
    </row>
    <row r="103" spans="1:9" ht="13.5">
      <c r="A103" s="75"/>
      <c r="B103" s="122" t="s">
        <v>30</v>
      </c>
      <c r="C103" s="2"/>
      <c r="D103" s="3"/>
      <c r="E103" s="4"/>
      <c r="F103" s="23">
        <v>4</v>
      </c>
      <c r="G103" s="14"/>
      <c r="H103" s="14" t="s">
        <v>14</v>
      </c>
      <c r="I103" s="69">
        <f>I102-F103</f>
        <v>137.00719424460425</v>
      </c>
    </row>
    <row r="104" spans="1:9" ht="13.5">
      <c r="A104" s="75"/>
      <c r="B104" s="122" t="s">
        <v>31</v>
      </c>
      <c r="C104" s="2"/>
      <c r="D104" s="3"/>
      <c r="E104" s="123">
        <f>ROUND(I103,0)-1</f>
        <v>136</v>
      </c>
      <c r="F104" s="26">
        <v>130</v>
      </c>
      <c r="G104" s="27" t="s">
        <v>121</v>
      </c>
      <c r="H104" s="27"/>
      <c r="I104" s="70">
        <f>I103-F104</f>
        <v>7.00719424460425</v>
      </c>
    </row>
    <row r="105" spans="1:9" ht="12.75">
      <c r="A105" s="75"/>
      <c r="B105" s="110" t="s">
        <v>114</v>
      </c>
      <c r="C105" s="111"/>
      <c r="D105" s="111"/>
      <c r="E105" s="111"/>
      <c r="F105" s="111"/>
      <c r="G105" s="111"/>
      <c r="H105" s="112"/>
      <c r="I105" s="116">
        <f>SQRT((25330.296/(I101*I104)))</f>
        <v>30.952636588840974</v>
      </c>
    </row>
    <row r="106" ht="12.75">
      <c r="A106" s="76">
        <f>1/$F$102^2</f>
        <v>0.021003990758244065</v>
      </c>
    </row>
    <row r="107" ht="12.75">
      <c r="A107" s="76">
        <f>1/$F$101^2</f>
        <v>0.02040816326530612</v>
      </c>
    </row>
    <row r="108" ht="12.75">
      <c r="A108" s="77">
        <f>(1/(2*PI())^2)*1000000</f>
        <v>25330.295910584446</v>
      </c>
    </row>
    <row r="109" spans="1:9" ht="12.75">
      <c r="A109" s="133" t="s">
        <v>125</v>
      </c>
      <c r="B109" s="140"/>
      <c r="C109" s="140"/>
      <c r="D109" s="140"/>
      <c r="E109" s="140"/>
      <c r="F109" s="140"/>
      <c r="G109" s="140"/>
      <c r="H109" s="140"/>
      <c r="I109" s="140"/>
    </row>
    <row r="110" spans="1:9" ht="12.75">
      <c r="A110" s="141" t="s">
        <v>124</v>
      </c>
      <c r="B110" s="142"/>
      <c r="C110" s="142"/>
      <c r="D110" s="142"/>
      <c r="E110" s="142"/>
      <c r="F110" s="142"/>
      <c r="G110" s="142"/>
      <c r="H110" s="142"/>
      <c r="I110" s="142"/>
    </row>
    <row r="111" spans="1:9" ht="13.5">
      <c r="A111" s="141" t="s">
        <v>126</v>
      </c>
      <c r="B111" s="142"/>
      <c r="C111" s="142"/>
      <c r="D111" s="142"/>
      <c r="E111" s="142"/>
      <c r="F111" s="143"/>
      <c r="G111" s="143"/>
      <c r="H111" s="143"/>
      <c r="I111" s="143"/>
    </row>
    <row r="112" spans="1:9" ht="12.75">
      <c r="A112" s="144" t="s">
        <v>127</v>
      </c>
      <c r="B112" s="109"/>
      <c r="C112" s="109"/>
      <c r="D112" s="109"/>
      <c r="E112" s="109"/>
      <c r="F112" s="145"/>
      <c r="G112" s="145"/>
      <c r="H112" s="145"/>
      <c r="I112" s="145"/>
    </row>
    <row r="113" spans="1:9" ht="12.75">
      <c r="A113" s="40" t="s">
        <v>128</v>
      </c>
      <c r="B113" s="138"/>
      <c r="C113" s="138"/>
      <c r="D113" s="138"/>
      <c r="E113" s="138"/>
      <c r="F113" s="146"/>
      <c r="G113" s="146"/>
      <c r="H113" s="146"/>
      <c r="I113" s="146"/>
    </row>
    <row r="114" spans="2:9" ht="13.5" thickBot="1">
      <c r="B114" s="75"/>
      <c r="C114" s="75"/>
      <c r="D114" s="75"/>
      <c r="E114" s="75"/>
      <c r="F114" s="75"/>
      <c r="G114" s="75"/>
      <c r="H114" s="75"/>
      <c r="I114" s="75"/>
    </row>
    <row r="115" spans="1:9" ht="17.25" thickBot="1" thickTop="1">
      <c r="A115" s="76"/>
      <c r="B115" s="86"/>
      <c r="C115" s="7" t="s">
        <v>7</v>
      </c>
      <c r="D115" s="8"/>
      <c r="E115" s="9"/>
      <c r="F115" s="9" t="s">
        <v>8</v>
      </c>
      <c r="G115" s="9"/>
      <c r="H115" s="10"/>
      <c r="I115" s="85"/>
    </row>
    <row r="116" spans="1:9" ht="14.25" thickTop="1">
      <c r="A116" s="76"/>
      <c r="B116" s="83"/>
      <c r="C116" s="89"/>
      <c r="D116" s="89"/>
      <c r="E116" s="90"/>
      <c r="F116" s="90"/>
      <c r="G116" s="90"/>
      <c r="H116" s="90"/>
      <c r="I116" s="61"/>
    </row>
    <row r="117" spans="1:9" ht="13.5">
      <c r="A117" s="75"/>
      <c r="B117" s="56" t="s">
        <v>9</v>
      </c>
      <c r="C117" s="11"/>
      <c r="D117" s="24"/>
      <c r="E117" s="24"/>
      <c r="F117" s="87"/>
      <c r="G117" s="88">
        <v>3000</v>
      </c>
      <c r="H117" s="81" t="s">
        <v>10</v>
      </c>
      <c r="I117" s="15" t="e">
        <f>INT((1/(E121*J121))*1000000000000)</f>
        <v>#DIV/0!</v>
      </c>
    </row>
    <row r="118" spans="1:9" ht="13.5">
      <c r="A118" s="75"/>
      <c r="B118" s="57" t="s">
        <v>11</v>
      </c>
      <c r="C118" s="2"/>
      <c r="D118" s="3"/>
      <c r="E118" s="3"/>
      <c r="F118" s="12"/>
      <c r="G118" s="13">
        <v>50</v>
      </c>
      <c r="H118" s="14" t="s">
        <v>12</v>
      </c>
      <c r="I118" s="15">
        <f>INT(((I122/E121)*1000000000))</f>
        <v>2436</v>
      </c>
    </row>
    <row r="119" spans="1:9" ht="13.5">
      <c r="A119" s="75"/>
      <c r="B119" s="57" t="s">
        <v>13</v>
      </c>
      <c r="C119" s="2"/>
      <c r="D119" s="3"/>
      <c r="E119" s="3"/>
      <c r="F119" s="12"/>
      <c r="G119" s="13">
        <v>10</v>
      </c>
      <c r="H119" s="14" t="s">
        <v>14</v>
      </c>
      <c r="I119" s="15">
        <f>INT((1/(E121*E122))*1000000000000)</f>
        <v>122</v>
      </c>
    </row>
    <row r="120" spans="1:9" ht="13.5">
      <c r="A120" s="75"/>
      <c r="B120" s="57" t="s">
        <v>15</v>
      </c>
      <c r="C120" s="2"/>
      <c r="D120" s="3"/>
      <c r="E120" s="3"/>
      <c r="F120" s="12"/>
      <c r="G120" s="13">
        <v>21.2</v>
      </c>
      <c r="H120" s="14" t="s">
        <v>16</v>
      </c>
      <c r="I120" s="15">
        <f>B121</f>
        <v>0.12909944487358055</v>
      </c>
    </row>
    <row r="121" spans="1:9" ht="13.5">
      <c r="A121" s="75"/>
      <c r="B121" s="73">
        <f>SQRT(G118/G117)</f>
        <v>0.12909944487358055</v>
      </c>
      <c r="C121" s="16" t="s">
        <v>17</v>
      </c>
      <c r="D121" s="17" t="s">
        <v>18</v>
      </c>
      <c r="E121" s="1">
        <f>PI()*2*G120*1000000</f>
        <v>133203528.51220721</v>
      </c>
      <c r="F121" t="s">
        <v>19</v>
      </c>
      <c r="G121" s="47">
        <f>G117/(G119*G119)</f>
        <v>30</v>
      </c>
      <c r="H121" t="s">
        <v>20</v>
      </c>
      <c r="I121">
        <f>G121*G119</f>
        <v>300</v>
      </c>
    </row>
    <row r="122" spans="1:9" ht="13.5">
      <c r="A122" s="75"/>
      <c r="B122" s="74" t="s">
        <v>21</v>
      </c>
      <c r="C122" s="18">
        <f>SQRT(G118/G121-1)</f>
        <v>0.816496580927726</v>
      </c>
      <c r="D122" s="19" t="s">
        <v>22</v>
      </c>
      <c r="E122" s="1">
        <f>G118/C122</f>
        <v>61.237243569579455</v>
      </c>
      <c r="F122" t="s">
        <v>23</v>
      </c>
      <c r="G122" s="47">
        <f>G121*C122</f>
        <v>24.49489742783178</v>
      </c>
      <c r="H122" t="s">
        <v>24</v>
      </c>
      <c r="I122">
        <f>I121+G122</f>
        <v>324.4948974278318</v>
      </c>
    </row>
    <row r="123" spans="1:9" ht="13.5">
      <c r="A123" s="75"/>
      <c r="B123" s="91" t="s">
        <v>25</v>
      </c>
      <c r="C123" s="25"/>
      <c r="D123" s="22"/>
      <c r="E123" s="22"/>
      <c r="F123" s="92"/>
      <c r="G123" s="20">
        <v>400</v>
      </c>
      <c r="H123" s="21" t="s">
        <v>26</v>
      </c>
      <c r="I123" s="93">
        <f>G123*I120</f>
        <v>51.63977794943222</v>
      </c>
    </row>
    <row r="124" spans="1:9" ht="12.75">
      <c r="A124" s="75"/>
      <c r="B124" s="75"/>
      <c r="C124" s="75"/>
      <c r="D124" s="75"/>
      <c r="E124" s="75"/>
      <c r="F124" s="75"/>
      <c r="G124" s="75"/>
      <c r="H124" s="75"/>
      <c r="I124" s="75"/>
    </row>
    <row r="125" spans="1:8" ht="19.5">
      <c r="A125" s="75"/>
      <c r="B125" s="76"/>
      <c r="C125" s="101" t="s">
        <v>0</v>
      </c>
      <c r="D125" s="94"/>
      <c r="E125" s="94"/>
      <c r="F125" s="94"/>
      <c r="G125" s="94"/>
      <c r="H125" s="100"/>
    </row>
    <row r="126" spans="1:9" ht="13.5">
      <c r="A126" s="75"/>
      <c r="B126" s="56" t="s">
        <v>1</v>
      </c>
      <c r="C126" s="2"/>
      <c r="D126" s="3"/>
      <c r="E126" s="4"/>
      <c r="F126" s="61"/>
      <c r="G126" s="48">
        <v>400</v>
      </c>
      <c r="H126" s="5" t="s">
        <v>2</v>
      </c>
      <c r="I126" s="6">
        <f>159154.943/(G126*G127)</f>
        <v>10.15018769132653</v>
      </c>
    </row>
    <row r="127" spans="1:9" ht="13.5">
      <c r="A127" s="75"/>
      <c r="B127" s="57" t="s">
        <v>3</v>
      </c>
      <c r="C127" s="2"/>
      <c r="D127" s="3"/>
      <c r="E127" s="4"/>
      <c r="F127" s="61"/>
      <c r="G127" s="48">
        <v>39.2</v>
      </c>
      <c r="H127" s="5" t="s">
        <v>4</v>
      </c>
      <c r="I127" s="6">
        <f>159154.943/(G126*G128)</f>
        <v>39.20072487684729</v>
      </c>
    </row>
    <row r="128" spans="1:9" ht="13.5">
      <c r="A128" s="75"/>
      <c r="B128" s="57" t="s">
        <v>5</v>
      </c>
      <c r="C128" s="2"/>
      <c r="D128" s="3"/>
      <c r="E128" s="4"/>
      <c r="F128" s="61"/>
      <c r="G128" s="48">
        <v>10.15</v>
      </c>
      <c r="H128" s="5" t="s">
        <v>6</v>
      </c>
      <c r="I128" s="6">
        <f>159154.943/(G128*G127)</f>
        <v>400.0073967025233</v>
      </c>
    </row>
    <row r="129" spans="1:9" ht="12.75">
      <c r="A129" s="75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75"/>
      <c r="B130" s="61"/>
      <c r="C130" s="61"/>
      <c r="D130" s="61"/>
      <c r="E130" s="61"/>
      <c r="F130" s="61"/>
      <c r="G130" s="61"/>
      <c r="H130" s="61"/>
      <c r="I130" s="61"/>
    </row>
    <row r="131" spans="1:9" ht="15.75">
      <c r="A131" s="78" t="s">
        <v>92</v>
      </c>
      <c r="B131" s="55"/>
      <c r="C131" s="55"/>
      <c r="D131" s="55"/>
      <c r="E131" s="55"/>
      <c r="F131" s="55"/>
      <c r="G131" s="55"/>
      <c r="H131" s="55"/>
      <c r="I131" s="55"/>
    </row>
    <row r="132" spans="1:9" ht="12.75">
      <c r="A132" s="75"/>
      <c r="B132" s="61"/>
      <c r="C132" s="61"/>
      <c r="D132" s="61"/>
      <c r="E132" s="61"/>
      <c r="F132" s="61"/>
      <c r="G132" s="61"/>
      <c r="H132" s="61"/>
      <c r="I132" s="61"/>
    </row>
    <row r="133" spans="6:9" ht="12.75">
      <c r="F133" s="61"/>
      <c r="G133" s="61"/>
      <c r="H133" s="61"/>
      <c r="I133" s="61"/>
    </row>
    <row r="134" spans="6:9" ht="12.75">
      <c r="F134" s="61"/>
      <c r="G134" s="61"/>
      <c r="H134" s="61"/>
      <c r="I134" s="61"/>
    </row>
    <row r="135" spans="6:9" ht="12.75">
      <c r="F135" s="61"/>
      <c r="G135" s="61"/>
      <c r="H135" s="61"/>
      <c r="I135" s="61"/>
    </row>
    <row r="136" spans="6:9" ht="12.75">
      <c r="F136" s="61"/>
      <c r="G136" s="61"/>
      <c r="H136" s="61"/>
      <c r="I136" s="61"/>
    </row>
    <row r="137" spans="6:9" ht="12.75">
      <c r="F137" s="50" t="s">
        <v>93</v>
      </c>
      <c r="G137" s="51">
        <v>20</v>
      </c>
      <c r="H137" s="50"/>
      <c r="I137" s="50" t="s">
        <v>94</v>
      </c>
    </row>
    <row r="138" spans="6:9" ht="12.75">
      <c r="F138" s="50" t="s">
        <v>95</v>
      </c>
      <c r="G138" s="52">
        <v>50</v>
      </c>
      <c r="H138" s="50"/>
      <c r="I138" s="50" t="s">
        <v>96</v>
      </c>
    </row>
    <row r="139" spans="6:9" ht="12.75">
      <c r="F139" s="95"/>
      <c r="G139" s="96"/>
      <c r="H139" s="96"/>
      <c r="I139" s="97"/>
    </row>
    <row r="140" spans="6:9" ht="12.75">
      <c r="F140" s="53" t="s">
        <v>97</v>
      </c>
      <c r="G140" s="53">
        <f>G138*(G142-1)/(G142+1)</f>
        <v>40.90909090909091</v>
      </c>
      <c r="H140" s="53">
        <f>ROUND(G140,2)</f>
        <v>40.91</v>
      </c>
      <c r="I140" s="53" t="s">
        <v>96</v>
      </c>
    </row>
    <row r="141" spans="6:9" ht="12.75">
      <c r="F141" s="53" t="s">
        <v>98</v>
      </c>
      <c r="G141" s="53">
        <f>2*G142*G138/(G142^2-1)</f>
        <v>10.1010101010101</v>
      </c>
      <c r="H141" s="53">
        <f>ROUND(G141,2)</f>
        <v>10.1</v>
      </c>
      <c r="I141" s="53" t="s">
        <v>96</v>
      </c>
    </row>
    <row r="142" spans="6:9" ht="12.75">
      <c r="F142" s="53" t="s">
        <v>99</v>
      </c>
      <c r="G142" s="53">
        <f>10^(G137/20)</f>
        <v>10</v>
      </c>
      <c r="H142" s="53">
        <f>ROUND(G142,2)</f>
        <v>10</v>
      </c>
      <c r="I142" s="53" t="s">
        <v>100</v>
      </c>
    </row>
    <row r="143" spans="6:9" ht="12.75">
      <c r="F143" s="61"/>
      <c r="G143" s="98"/>
      <c r="H143" s="98"/>
      <c r="I143" s="98"/>
    </row>
    <row r="144" spans="6:9" ht="12.75">
      <c r="F144" s="61"/>
      <c r="G144" s="98"/>
      <c r="H144" s="98"/>
      <c r="I144" s="98"/>
    </row>
    <row r="145" spans="6:9" ht="12.75">
      <c r="F145" s="61"/>
      <c r="G145" s="98"/>
      <c r="H145" s="98"/>
      <c r="I145" s="98"/>
    </row>
    <row r="146" spans="6:9" ht="12.75">
      <c r="F146" s="61"/>
      <c r="G146" s="98"/>
      <c r="H146" s="98"/>
      <c r="I146" s="98"/>
    </row>
    <row r="147" spans="6:9" ht="12.75">
      <c r="F147" s="61"/>
      <c r="G147" s="98"/>
      <c r="H147" s="98"/>
      <c r="I147" s="98"/>
    </row>
    <row r="148" spans="6:9" ht="12.75">
      <c r="F148" s="61"/>
      <c r="G148" s="98"/>
      <c r="H148" s="98"/>
      <c r="I148" s="98"/>
    </row>
    <row r="149" spans="6:9" ht="12.75">
      <c r="F149" s="61"/>
      <c r="G149" s="98"/>
      <c r="H149" s="98"/>
      <c r="I149" s="98"/>
    </row>
    <row r="150" spans="6:9" ht="12.75">
      <c r="F150" s="61"/>
      <c r="G150" s="98"/>
      <c r="H150" s="98"/>
      <c r="I150" s="98"/>
    </row>
    <row r="151" spans="6:9" ht="12.75">
      <c r="F151" s="53" t="s">
        <v>101</v>
      </c>
      <c r="G151" s="53">
        <f>(G142^2-1)*G138/(2*G142)</f>
        <v>247.5</v>
      </c>
      <c r="H151" s="53">
        <f>ROUND(G151,2)</f>
        <v>247.5</v>
      </c>
      <c r="I151" s="53" t="s">
        <v>96</v>
      </c>
    </row>
    <row r="152" spans="6:9" ht="12.75">
      <c r="F152" s="53" t="s">
        <v>102</v>
      </c>
      <c r="G152" s="53">
        <f>(G142+1)*G138/(G142-1)</f>
        <v>61.111111111111114</v>
      </c>
      <c r="H152" s="53">
        <f>ROUND(G152,2)</f>
        <v>61.11</v>
      </c>
      <c r="I152" s="53" t="s">
        <v>96</v>
      </c>
    </row>
    <row r="153" spans="6:9" ht="12.75">
      <c r="F153" s="61"/>
      <c r="G153" s="61"/>
      <c r="H153" s="61"/>
      <c r="I153" s="61"/>
    </row>
    <row r="154" spans="6:9" ht="12.75">
      <c r="F154" s="61"/>
      <c r="G154" s="61"/>
      <c r="H154" s="61"/>
      <c r="I154" s="61"/>
    </row>
    <row r="155" spans="6:9" ht="12.75">
      <c r="F155" s="61"/>
      <c r="G155" s="61"/>
      <c r="H155" s="61"/>
      <c r="I155" s="61"/>
    </row>
    <row r="156" spans="6:9" ht="12.75">
      <c r="F156" s="61"/>
      <c r="G156" s="61"/>
      <c r="H156" s="61"/>
      <c r="I156" s="61"/>
    </row>
    <row r="157" spans="6:9" ht="12.75">
      <c r="F157" s="61"/>
      <c r="G157" s="61"/>
      <c r="H157" s="61"/>
      <c r="I157" s="61"/>
    </row>
    <row r="158" spans="1:9" ht="12.75">
      <c r="A158" s="133" t="s">
        <v>133</v>
      </c>
      <c r="B158" s="134"/>
      <c r="C158" s="134"/>
      <c r="D158" s="134"/>
      <c r="E158" s="134"/>
      <c r="F158" s="134"/>
      <c r="G158" s="134"/>
      <c r="H158" s="134"/>
      <c r="I158" s="135"/>
    </row>
    <row r="159" spans="1:9" ht="12.75">
      <c r="A159" s="136" t="s">
        <v>134</v>
      </c>
      <c r="B159" s="109"/>
      <c r="C159" s="109"/>
      <c r="D159" s="109"/>
      <c r="E159" s="109"/>
      <c r="F159" s="109"/>
      <c r="G159" s="109"/>
      <c r="H159" s="109"/>
      <c r="I159" s="137"/>
    </row>
    <row r="160" spans="1:9" ht="12.75">
      <c r="A160" s="40"/>
      <c r="B160" s="138"/>
      <c r="C160" s="138"/>
      <c r="D160" s="138"/>
      <c r="E160" s="138"/>
      <c r="F160" s="138"/>
      <c r="G160" s="138"/>
      <c r="H160" s="138"/>
      <c r="I160" s="13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3"/>
  <sheetViews>
    <sheetView windowProtection="1" tabSelected="1" workbookViewId="0" topLeftCell="A76">
      <selection activeCell="K102" sqref="K102"/>
    </sheetView>
  </sheetViews>
  <sheetFormatPr defaultColWidth="9.00390625" defaultRowHeight="12.75"/>
  <cols>
    <col min="1" max="3" width="9.25390625" style="0" bestFit="1" customWidth="1"/>
    <col min="5" max="5" width="10.00390625" style="0" bestFit="1" customWidth="1"/>
    <col min="6" max="6" width="10.00390625" style="0" customWidth="1"/>
    <col min="7" max="7" width="10.875" style="0" customWidth="1"/>
    <col min="9" max="10" width="9.25390625" style="0" bestFit="1" customWidth="1"/>
    <col min="13" max="13" width="13.00390625" style="0" customWidth="1"/>
  </cols>
  <sheetData>
    <row r="1" spans="1:10" ht="14.25">
      <c r="A1" s="159" t="s">
        <v>103</v>
      </c>
      <c r="B1" s="160"/>
      <c r="C1" s="160"/>
      <c r="D1" s="160"/>
      <c r="E1" s="160"/>
      <c r="F1" s="160"/>
      <c r="G1" s="160"/>
      <c r="H1" s="161" t="s">
        <v>32</v>
      </c>
      <c r="I1" s="162"/>
      <c r="J1" s="63"/>
    </row>
    <row r="2" spans="1:10" ht="19.5">
      <c r="A2" s="126"/>
      <c r="B2" s="127" t="s">
        <v>130</v>
      </c>
      <c r="C2" s="128"/>
      <c r="D2" s="128"/>
      <c r="E2" s="128"/>
      <c r="F2" s="128"/>
      <c r="G2" s="128"/>
      <c r="H2" s="128"/>
      <c r="I2" s="129"/>
      <c r="J2" s="64"/>
    </row>
    <row r="3" spans="1:10" ht="19.5">
      <c r="A3" s="151" t="s">
        <v>138</v>
      </c>
      <c r="B3" s="148"/>
      <c r="C3" s="149"/>
      <c r="D3" s="149"/>
      <c r="E3" s="149"/>
      <c r="F3" s="149"/>
      <c r="G3" s="149"/>
      <c r="H3" s="149"/>
      <c r="I3" s="150"/>
      <c r="J3" s="64"/>
    </row>
    <row r="4" spans="1:10" ht="19.5">
      <c r="A4" s="130" t="s">
        <v>139</v>
      </c>
      <c r="B4" s="131"/>
      <c r="C4" s="131"/>
      <c r="D4" s="131"/>
      <c r="E4" s="131"/>
      <c r="F4" s="131"/>
      <c r="G4" s="131"/>
      <c r="H4" s="131"/>
      <c r="I4" s="132"/>
      <c r="J4" s="65"/>
    </row>
    <row r="5" spans="1:10" ht="15.75">
      <c r="A5" s="154" t="s">
        <v>131</v>
      </c>
      <c r="B5" s="152"/>
      <c r="C5" s="152"/>
      <c r="D5" s="152"/>
      <c r="E5" s="152"/>
      <c r="F5" s="152"/>
      <c r="G5" s="152"/>
      <c r="H5" s="152"/>
      <c r="I5" s="153"/>
      <c r="J5" s="65"/>
    </row>
    <row r="6" spans="1:10" ht="15.75">
      <c r="A6" s="158" t="s">
        <v>140</v>
      </c>
      <c r="B6" s="157"/>
      <c r="C6" s="157"/>
      <c r="D6" s="157"/>
      <c r="E6" s="157"/>
      <c r="F6" s="157"/>
      <c r="G6" s="157"/>
      <c r="H6" s="157"/>
      <c r="I6" s="157"/>
      <c r="J6" s="65"/>
    </row>
    <row r="7" spans="1:10" ht="19.5">
      <c r="A7" s="37" t="s">
        <v>33</v>
      </c>
      <c r="B7" s="38"/>
      <c r="C7" s="39"/>
      <c r="D7" s="39"/>
      <c r="E7" s="39"/>
      <c r="F7" s="39"/>
      <c r="G7" s="39"/>
      <c r="H7" s="39"/>
      <c r="I7" s="39"/>
      <c r="J7" s="66"/>
    </row>
    <row r="8" spans="1:10" ht="19.5">
      <c r="A8" s="29" t="s">
        <v>132</v>
      </c>
      <c r="B8" s="30"/>
      <c r="C8" s="31"/>
      <c r="D8" s="31"/>
      <c r="E8" s="31"/>
      <c r="F8" s="31"/>
      <c r="G8" s="31"/>
      <c r="H8" s="31"/>
      <c r="I8" s="31"/>
      <c r="J8" s="66"/>
    </row>
    <row r="9" spans="1:10" ht="12.75">
      <c r="A9" s="32" t="s">
        <v>34</v>
      </c>
      <c r="B9" s="33"/>
      <c r="C9" s="33"/>
      <c r="D9" s="33"/>
      <c r="E9" s="33"/>
      <c r="F9" s="33"/>
      <c r="G9" s="33"/>
      <c r="H9" s="33"/>
      <c r="I9" s="33"/>
      <c r="J9" s="64"/>
    </row>
    <row r="10" spans="1:10" ht="12.75">
      <c r="A10" s="32" t="s">
        <v>35</v>
      </c>
      <c r="B10" s="33"/>
      <c r="C10" s="33"/>
      <c r="D10" s="33"/>
      <c r="E10" s="33"/>
      <c r="F10" s="33"/>
      <c r="G10" s="33"/>
      <c r="H10" s="33"/>
      <c r="I10" s="33"/>
      <c r="J10" s="64"/>
    </row>
    <row r="11" spans="1:10" ht="12.75">
      <c r="A11" s="32" t="s">
        <v>36</v>
      </c>
      <c r="B11" s="33"/>
      <c r="C11" s="33"/>
      <c r="D11" s="33"/>
      <c r="E11" s="33"/>
      <c r="F11" s="33"/>
      <c r="G11" s="33"/>
      <c r="H11" s="33"/>
      <c r="I11" s="33"/>
      <c r="J11" s="64"/>
    </row>
    <row r="12" spans="1:10" ht="12.75">
      <c r="A12" s="32" t="s">
        <v>37</v>
      </c>
      <c r="B12" s="33"/>
      <c r="C12" s="33"/>
      <c r="D12" s="33"/>
      <c r="E12" s="33"/>
      <c r="F12" s="33"/>
      <c r="G12" s="33"/>
      <c r="H12" s="33"/>
      <c r="I12" s="33"/>
      <c r="J12" s="64"/>
    </row>
    <row r="13" spans="1:10" ht="12.75">
      <c r="A13" s="32" t="s">
        <v>38</v>
      </c>
      <c r="B13" s="33"/>
      <c r="C13" s="33"/>
      <c r="D13" s="33"/>
      <c r="E13" s="33"/>
      <c r="F13" s="33"/>
      <c r="G13" s="33"/>
      <c r="H13" s="33"/>
      <c r="I13" s="33"/>
      <c r="J13" s="64"/>
    </row>
    <row r="14" spans="1:10" ht="12.75">
      <c r="A14" s="32" t="s">
        <v>39</v>
      </c>
      <c r="B14" s="33"/>
      <c r="C14" s="33"/>
      <c r="D14" s="33"/>
      <c r="E14" s="33"/>
      <c r="F14" s="33"/>
      <c r="G14" s="33"/>
      <c r="H14" s="33"/>
      <c r="I14" s="33"/>
      <c r="J14" s="64"/>
    </row>
    <row r="15" spans="1:10" ht="12.75">
      <c r="A15" s="32" t="s">
        <v>40</v>
      </c>
      <c r="B15" s="33"/>
      <c r="C15" s="33"/>
      <c r="D15" s="33"/>
      <c r="E15" s="33"/>
      <c r="F15" s="33"/>
      <c r="G15" s="33"/>
      <c r="H15" s="33"/>
      <c r="I15" s="33"/>
      <c r="J15" s="64"/>
    </row>
    <row r="16" spans="1:10" ht="19.5">
      <c r="A16" s="147" t="s">
        <v>41</v>
      </c>
      <c r="B16" s="30"/>
      <c r="C16" s="31"/>
      <c r="D16" s="31"/>
      <c r="E16" s="31"/>
      <c r="F16" s="31"/>
      <c r="G16" s="31"/>
      <c r="H16" s="31"/>
      <c r="I16" s="31"/>
      <c r="J16" s="66"/>
    </row>
    <row r="17" spans="1:10" ht="19.5">
      <c r="A17" s="32" t="s">
        <v>136</v>
      </c>
      <c r="B17" s="30"/>
      <c r="C17" s="31"/>
      <c r="D17" s="31"/>
      <c r="E17" s="31"/>
      <c r="F17" s="31"/>
      <c r="G17" s="31"/>
      <c r="H17" s="31"/>
      <c r="I17" s="31"/>
      <c r="J17" s="66"/>
    </row>
    <row r="18" spans="1:10" ht="19.5">
      <c r="A18" s="32" t="s">
        <v>135</v>
      </c>
      <c r="B18" s="30"/>
      <c r="C18" s="31"/>
      <c r="D18" s="31"/>
      <c r="E18" s="31"/>
      <c r="F18" s="31"/>
      <c r="G18" s="31"/>
      <c r="H18" s="31"/>
      <c r="I18" s="31"/>
      <c r="J18" s="66"/>
    </row>
    <row r="19" spans="1:10" ht="19.5">
      <c r="A19" s="32" t="s">
        <v>137</v>
      </c>
      <c r="B19" s="30"/>
      <c r="C19" s="31"/>
      <c r="D19" s="31"/>
      <c r="E19" s="31"/>
      <c r="F19" s="31"/>
      <c r="G19" s="31"/>
      <c r="H19" s="31"/>
      <c r="I19" s="31"/>
      <c r="J19" s="66"/>
    </row>
    <row r="20" spans="1:10" ht="19.5">
      <c r="A20" s="34" t="s">
        <v>42</v>
      </c>
      <c r="B20" s="35"/>
      <c r="C20" s="36"/>
      <c r="D20" s="36"/>
      <c r="E20" s="36"/>
      <c r="F20" s="36"/>
      <c r="G20" s="36"/>
      <c r="H20" s="36"/>
      <c r="I20" s="36"/>
      <c r="J20" s="67"/>
    </row>
    <row r="21" spans="1:10" ht="19.5">
      <c r="A21" s="32" t="s">
        <v>43</v>
      </c>
      <c r="B21" s="30"/>
      <c r="C21" s="31"/>
      <c r="D21" s="31"/>
      <c r="E21" s="31"/>
      <c r="F21" s="31"/>
      <c r="G21" s="31"/>
      <c r="H21" s="31"/>
      <c r="I21" s="31"/>
      <c r="J21" s="66"/>
    </row>
    <row r="22" spans="1:10" ht="19.5">
      <c r="A22" s="32" t="s">
        <v>44</v>
      </c>
      <c r="B22" s="30"/>
      <c r="C22" s="31"/>
      <c r="D22" s="31"/>
      <c r="E22" s="31"/>
      <c r="F22" s="31"/>
      <c r="G22" s="31"/>
      <c r="H22" s="31"/>
      <c r="I22" s="31"/>
      <c r="J22" s="66"/>
    </row>
    <row r="23" spans="1:10" ht="19.5">
      <c r="A23" s="32" t="s">
        <v>45</v>
      </c>
      <c r="B23" s="30"/>
      <c r="C23" s="31"/>
      <c r="D23" s="31"/>
      <c r="E23" s="31"/>
      <c r="F23" s="31"/>
      <c r="G23" s="31"/>
      <c r="H23" s="31"/>
      <c r="I23" s="31"/>
      <c r="J23" s="66"/>
    </row>
    <row r="24" spans="1:10" ht="19.5">
      <c r="A24" s="29" t="s">
        <v>46</v>
      </c>
      <c r="B24" s="30"/>
      <c r="C24" s="31"/>
      <c r="D24" s="31"/>
      <c r="E24" s="31"/>
      <c r="F24" s="31"/>
      <c r="G24" s="31"/>
      <c r="H24" s="31"/>
      <c r="I24" s="31"/>
      <c r="J24" s="66"/>
    </row>
    <row r="25" spans="1:10" ht="19.5">
      <c r="A25" s="29" t="s">
        <v>47</v>
      </c>
      <c r="B25" s="30"/>
      <c r="C25" s="31"/>
      <c r="D25" s="31"/>
      <c r="E25" s="31"/>
      <c r="F25" s="31"/>
      <c r="G25" s="31"/>
      <c r="H25" s="31"/>
      <c r="I25" s="31"/>
      <c r="J25" s="66"/>
    </row>
    <row r="26" spans="1:10" ht="19.5">
      <c r="A26" s="29" t="s">
        <v>119</v>
      </c>
      <c r="B26" s="30"/>
      <c r="C26" s="31"/>
      <c r="D26" s="31"/>
      <c r="E26" s="31"/>
      <c r="F26" s="31"/>
      <c r="G26" s="31"/>
      <c r="H26" s="31"/>
      <c r="I26" s="31"/>
      <c r="J26" s="66"/>
    </row>
    <row r="27" spans="1:10" ht="19.5">
      <c r="A27" s="29" t="s">
        <v>104</v>
      </c>
      <c r="B27" s="30"/>
      <c r="C27" s="31"/>
      <c r="D27" s="31"/>
      <c r="E27" s="31"/>
      <c r="F27" s="31"/>
      <c r="G27" s="31"/>
      <c r="H27" s="31"/>
      <c r="I27" s="31"/>
      <c r="J27" s="66"/>
    </row>
    <row r="28" spans="1:10" ht="19.5">
      <c r="A28" s="29" t="s">
        <v>48</v>
      </c>
      <c r="B28" s="30"/>
      <c r="C28" s="31"/>
      <c r="D28" s="31"/>
      <c r="E28" s="31"/>
      <c r="F28" s="31"/>
      <c r="G28" s="31"/>
      <c r="H28" s="31"/>
      <c r="I28" s="31"/>
      <c r="J28" s="66"/>
    </row>
    <row r="29" spans="1:10" ht="19.5">
      <c r="A29" s="29" t="s">
        <v>49</v>
      </c>
      <c r="B29" s="30"/>
      <c r="C29" s="31"/>
      <c r="D29" s="31"/>
      <c r="E29" s="31"/>
      <c r="F29" s="31"/>
      <c r="G29" s="31"/>
      <c r="H29" s="31"/>
      <c r="I29" s="31"/>
      <c r="J29" s="66"/>
    </row>
    <row r="30" spans="1:10" ht="19.5">
      <c r="A30" s="29" t="s">
        <v>129</v>
      </c>
      <c r="B30" s="30"/>
      <c r="C30" s="31"/>
      <c r="D30" s="31"/>
      <c r="E30" s="31"/>
      <c r="F30" s="31"/>
      <c r="G30" s="31"/>
      <c r="H30" s="31"/>
      <c r="I30" s="31"/>
      <c r="J30" s="66"/>
    </row>
    <row r="31" spans="1:17" ht="19.5">
      <c r="A31" s="37" t="s">
        <v>50</v>
      </c>
      <c r="B31" s="38"/>
      <c r="C31" s="39"/>
      <c r="D31" s="39"/>
      <c r="E31" s="39"/>
      <c r="F31" s="39"/>
      <c r="G31" s="39"/>
      <c r="H31" s="39"/>
      <c r="I31" s="39"/>
      <c r="J31" s="66"/>
      <c r="Q31" s="49"/>
    </row>
    <row r="32" spans="1:10" ht="19.5">
      <c r="A32" s="37" t="s">
        <v>51</v>
      </c>
      <c r="B32" s="38"/>
      <c r="C32" s="39"/>
      <c r="D32" s="39"/>
      <c r="E32" s="39"/>
      <c r="F32" s="39"/>
      <c r="G32" s="39"/>
      <c r="H32" s="39"/>
      <c r="I32" s="39"/>
      <c r="J32" s="66"/>
    </row>
    <row r="33" spans="1:10" ht="19.5">
      <c r="A33" s="40" t="s">
        <v>91</v>
      </c>
      <c r="B33" s="38"/>
      <c r="C33" s="39"/>
      <c r="D33" s="39"/>
      <c r="E33" s="39"/>
      <c r="F33" s="39"/>
      <c r="G33" s="39"/>
      <c r="H33" s="39"/>
      <c r="I33" s="39"/>
      <c r="J33" s="66"/>
    </row>
    <row r="34" spans="1:10" ht="19.5">
      <c r="A34" s="32" t="s">
        <v>52</v>
      </c>
      <c r="B34" s="38"/>
      <c r="C34" s="39"/>
      <c r="D34" s="39"/>
      <c r="E34" s="39"/>
      <c r="F34" s="39"/>
      <c r="G34" s="39"/>
      <c r="H34" s="39"/>
      <c r="I34" s="39"/>
      <c r="J34" s="66"/>
    </row>
    <row r="35" spans="1:10" ht="19.5">
      <c r="A35" s="124" t="s">
        <v>112</v>
      </c>
      <c r="B35" s="38"/>
      <c r="C35" s="39"/>
      <c r="D35" s="39"/>
      <c r="E35" s="39"/>
      <c r="F35" s="39"/>
      <c r="G35" s="39"/>
      <c r="H35" s="39"/>
      <c r="I35" s="39"/>
      <c r="J35" s="66"/>
    </row>
    <row r="36" spans="1:10" ht="19.5">
      <c r="A36" s="124" t="s">
        <v>123</v>
      </c>
      <c r="B36" s="38"/>
      <c r="C36" s="39"/>
      <c r="D36" s="39"/>
      <c r="E36" s="39"/>
      <c r="F36" s="39"/>
      <c r="G36" s="39"/>
      <c r="H36" s="39"/>
      <c r="I36" s="39"/>
      <c r="J36" s="66"/>
    </row>
    <row r="37" spans="1:10" ht="19.5">
      <c r="A37" s="125" t="s">
        <v>113</v>
      </c>
      <c r="B37" s="38"/>
      <c r="C37" s="39"/>
      <c r="D37" s="39"/>
      <c r="E37" s="39"/>
      <c r="F37" s="39"/>
      <c r="G37" s="39"/>
      <c r="H37" s="39"/>
      <c r="I37" s="39"/>
      <c r="J37" s="66"/>
    </row>
    <row r="38" spans="1:10" ht="12.75">
      <c r="A38" s="119"/>
      <c r="B38" s="120"/>
      <c r="C38" s="121"/>
      <c r="D38" s="28"/>
      <c r="E38" s="28"/>
      <c r="F38" s="28"/>
      <c r="G38" s="28"/>
      <c r="H38" s="28"/>
      <c r="I38" s="28"/>
      <c r="J38" s="65"/>
    </row>
    <row r="39" spans="1:10" ht="12.75">
      <c r="A39" s="75"/>
      <c r="B39" s="75"/>
      <c r="C39" s="75"/>
      <c r="D39" s="105" t="s">
        <v>53</v>
      </c>
      <c r="E39" s="52">
        <v>5.9</v>
      </c>
      <c r="F39" s="44" t="s">
        <v>88</v>
      </c>
      <c r="G39" s="44" t="s">
        <v>54</v>
      </c>
      <c r="H39" s="52">
        <v>1.49</v>
      </c>
      <c r="I39" s="62" t="s">
        <v>89</v>
      </c>
      <c r="J39" s="64"/>
    </row>
    <row r="40" spans="1:10" ht="13.5" thickBot="1">
      <c r="A40" s="75"/>
      <c r="B40" s="75"/>
      <c r="C40" s="75"/>
      <c r="D40" s="105" t="s">
        <v>55</v>
      </c>
      <c r="E40" s="52">
        <v>3.703</v>
      </c>
      <c r="F40" s="44" t="s">
        <v>88</v>
      </c>
      <c r="G40" s="44" t="s">
        <v>56</v>
      </c>
      <c r="H40" s="52">
        <v>1.398</v>
      </c>
      <c r="I40" s="62" t="s">
        <v>89</v>
      </c>
      <c r="J40" s="68"/>
    </row>
    <row r="41" spans="1:3" ht="12.75" hidden="1">
      <c r="A41" s="75" t="s">
        <v>57</v>
      </c>
      <c r="B41" s="75">
        <f>(((B59*SQRT(B49))-(B60*SQRT(B48)))/(B59-B60))^2</f>
        <v>5.358447713182687</v>
      </c>
      <c r="C41" s="75"/>
    </row>
    <row r="42" spans="1:3" ht="12.75" hidden="1">
      <c r="A42" s="75" t="s">
        <v>58</v>
      </c>
      <c r="B42" s="75">
        <f>0.4*0.5*I59</f>
        <v>0.5917602654421243</v>
      </c>
      <c r="C42" s="75"/>
    </row>
    <row r="43" spans="1:3" ht="12.75" hidden="1">
      <c r="A43" s="75" t="s">
        <v>59</v>
      </c>
      <c r="B43" s="75">
        <f>E59*(1-SQRT(B42/B41))</f>
        <v>1.2707101332546213</v>
      </c>
      <c r="C43" s="75"/>
    </row>
    <row r="44" spans="1:3" ht="12.75" hidden="1">
      <c r="A44" s="75" t="s">
        <v>60</v>
      </c>
      <c r="B44" s="75">
        <f>B43/B42</f>
        <v>2.1473393998585397</v>
      </c>
      <c r="C44" s="75"/>
    </row>
    <row r="45" spans="1:3" ht="12.75" hidden="1">
      <c r="A45" s="75" t="s">
        <v>61</v>
      </c>
      <c r="B45" s="75">
        <f>0.4*0.5*I60</f>
        <v>0.5917602654421241</v>
      </c>
      <c r="C45" s="75"/>
    </row>
    <row r="46" spans="1:3" ht="12.75" hidden="1">
      <c r="A46" s="75" t="s">
        <v>62</v>
      </c>
      <c r="B46" s="75">
        <f>E60*(1-SQRT(B45/B41))</f>
        <v>1.2707101332546216</v>
      </c>
      <c r="C46" s="75"/>
    </row>
    <row r="47" spans="1:3" ht="12.75" hidden="1">
      <c r="A47" s="75" t="s">
        <v>63</v>
      </c>
      <c r="B47" s="75">
        <f>B46/B45</f>
        <v>2.1473393998585406</v>
      </c>
      <c r="C47" s="75"/>
    </row>
    <row r="48" spans="1:3" ht="12.75" hidden="1">
      <c r="A48" s="75" t="s">
        <v>64</v>
      </c>
      <c r="B48" s="75">
        <f>H39/E39</f>
        <v>0.2525423728813559</v>
      </c>
      <c r="C48" s="75"/>
    </row>
    <row r="49" spans="1:3" ht="13.5" hidden="1" thickBot="1">
      <c r="A49" s="75" t="s">
        <v>65</v>
      </c>
      <c r="B49" s="75">
        <f>H40/E40</f>
        <v>0.3775317310288955</v>
      </c>
      <c r="C49" s="75"/>
    </row>
    <row r="50" spans="1:9" ht="14.25" thickBot="1" thickTop="1">
      <c r="A50" s="75"/>
      <c r="B50" s="75"/>
      <c r="C50" s="75"/>
      <c r="D50" s="75"/>
      <c r="E50" s="45" t="s">
        <v>66</v>
      </c>
      <c r="F50" s="45"/>
      <c r="G50" s="155">
        <f>B41</f>
        <v>5.358447713182687</v>
      </c>
      <c r="H50" s="103" t="s">
        <v>108</v>
      </c>
      <c r="I50" s="44"/>
    </row>
    <row r="51" spans="4:9" ht="14.25" thickBot="1" thickTop="1">
      <c r="D51" s="75"/>
      <c r="E51" s="45" t="s">
        <v>67</v>
      </c>
      <c r="F51" s="45"/>
      <c r="G51" s="155">
        <f>I59</f>
        <v>2.9588013272106215</v>
      </c>
      <c r="H51" s="103" t="s">
        <v>106</v>
      </c>
      <c r="I51" s="44"/>
    </row>
    <row r="52" spans="4:9" ht="14.25" thickBot="1" thickTop="1">
      <c r="D52" s="75"/>
      <c r="E52" s="45" t="s">
        <v>68</v>
      </c>
      <c r="F52" s="45"/>
      <c r="G52" s="155">
        <f>E59</f>
        <v>1.9031656652882973</v>
      </c>
      <c r="H52" s="103" t="s">
        <v>90</v>
      </c>
      <c r="I52" s="44"/>
    </row>
    <row r="53" spans="4:13" ht="14.25" thickBot="1" thickTop="1">
      <c r="D53" s="75"/>
      <c r="E53" s="45" t="s">
        <v>69</v>
      </c>
      <c r="F53" s="45"/>
      <c r="G53" s="155">
        <f>G51*((G52-G56)/G52)</f>
        <v>0.9832618892373032</v>
      </c>
      <c r="H53" s="103" t="s">
        <v>106</v>
      </c>
      <c r="I53" s="44"/>
      <c r="M53" s="117"/>
    </row>
    <row r="54" spans="4:9" ht="14.25" thickBot="1" thickTop="1">
      <c r="D54" s="75"/>
      <c r="E54" s="45" t="s">
        <v>70</v>
      </c>
      <c r="F54" s="45"/>
      <c r="G54" s="155">
        <f>B44</f>
        <v>2.1473393998585397</v>
      </c>
      <c r="H54" s="103" t="s">
        <v>88</v>
      </c>
      <c r="I54" s="44"/>
    </row>
    <row r="55" spans="4:9" ht="14.25" thickBot="1" thickTop="1">
      <c r="D55" s="75"/>
      <c r="E55" s="45" t="s">
        <v>71</v>
      </c>
      <c r="F55" s="45"/>
      <c r="G55" s="155">
        <f>B42</f>
        <v>0.5917602654421243</v>
      </c>
      <c r="H55" s="103" t="s">
        <v>108</v>
      </c>
      <c r="I55" s="44"/>
    </row>
    <row r="56" spans="4:9" ht="14.25" thickBot="1" thickTop="1">
      <c r="D56" s="75"/>
      <c r="E56" s="45" t="s">
        <v>72</v>
      </c>
      <c r="F56" s="45"/>
      <c r="G56" s="155">
        <f>B43</f>
        <v>1.2707101332546213</v>
      </c>
      <c r="H56" s="103" t="s">
        <v>90</v>
      </c>
      <c r="I56" s="44"/>
    </row>
    <row r="57" spans="4:12" ht="13.5" thickTop="1">
      <c r="D57" s="75"/>
      <c r="E57" s="58" t="s">
        <v>73</v>
      </c>
      <c r="F57" s="58"/>
      <c r="G57" s="156">
        <f>E59-B43</f>
        <v>0.632455532033676</v>
      </c>
      <c r="H57" s="103" t="s">
        <v>90</v>
      </c>
      <c r="I57" s="44"/>
      <c r="L57" s="60"/>
    </row>
    <row r="58" ht="12.75" hidden="1"/>
    <row r="59" spans="1:12" ht="12.75" hidden="1">
      <c r="A59" t="s">
        <v>54</v>
      </c>
      <c r="B59">
        <f>E39*B48</f>
        <v>1.4899999999999998</v>
      </c>
      <c r="D59" t="s">
        <v>74</v>
      </c>
      <c r="E59">
        <f>L59</f>
        <v>1.9031656652882973</v>
      </c>
      <c r="F59" t="s">
        <v>75</v>
      </c>
      <c r="G59">
        <f>2*B41*(B59-E59)/(E59*E59)</f>
        <v>-1.2224751188128742</v>
      </c>
      <c r="H59" t="s">
        <v>76</v>
      </c>
      <c r="I59">
        <f>2*B41/(E59*E59)</f>
        <v>2.9588013272106215</v>
      </c>
      <c r="L59">
        <f>B59/(1-SQRT(B48/B41))</f>
        <v>1.9031656652882973</v>
      </c>
    </row>
    <row r="60" spans="1:9" ht="12.75" hidden="1">
      <c r="A60" t="s">
        <v>56</v>
      </c>
      <c r="B60">
        <f>E40*B49</f>
        <v>1.398</v>
      </c>
      <c r="D60" t="s">
        <v>77</v>
      </c>
      <c r="E60">
        <f>B60/(1-SQRT(B49/B41))</f>
        <v>1.9031656652882976</v>
      </c>
      <c r="F60" t="s">
        <v>78</v>
      </c>
      <c r="G60">
        <f>2*B41*(B43-E60)/E60^2</f>
        <v>-1.8713102675829405</v>
      </c>
      <c r="H60" t="s">
        <v>79</v>
      </c>
      <c r="I60">
        <f>2*B41/E60^2</f>
        <v>2.9588013272106206</v>
      </c>
    </row>
    <row r="61" ht="12.75" hidden="1"/>
    <row r="62" ht="12.75" hidden="1"/>
    <row r="63" spans="1:3" ht="12.75" hidden="1">
      <c r="A63" s="41" t="s">
        <v>80</v>
      </c>
      <c r="B63" s="41">
        <v>0.5</v>
      </c>
      <c r="C63" t="s">
        <v>81</v>
      </c>
    </row>
    <row r="64" spans="1:3" ht="12.75" hidden="1">
      <c r="A64" s="41" t="s">
        <v>82</v>
      </c>
      <c r="B64" s="41">
        <v>0.02</v>
      </c>
      <c r="C64" t="s">
        <v>83</v>
      </c>
    </row>
    <row r="65" spans="1:3" ht="12.75" hidden="1">
      <c r="A65" t="s">
        <v>84</v>
      </c>
      <c r="B65">
        <f>B64/G60</f>
        <v>-0.010687698532126798</v>
      </c>
      <c r="C65" t="s">
        <v>81</v>
      </c>
    </row>
    <row r="66" ht="12.75" hidden="1"/>
    <row r="67" spans="1:2" ht="12.75" hidden="1">
      <c r="A67" t="s">
        <v>85</v>
      </c>
      <c r="B67">
        <f>B65/B44</f>
        <v>-0.004977181777985758</v>
      </c>
    </row>
    <row r="68" spans="1:2" ht="12.75" hidden="1">
      <c r="A68" t="s">
        <v>86</v>
      </c>
      <c r="B68">
        <f>G55/B67</f>
        <v>-118.89464597405299</v>
      </c>
    </row>
    <row r="69" spans="1:2" ht="12.75" hidden="1">
      <c r="A69" t="s">
        <v>87</v>
      </c>
      <c r="B69">
        <f>B44*B68*(-1)</f>
        <v>255.30715773231648</v>
      </c>
    </row>
    <row r="70" ht="12.75" hidden="1"/>
    <row r="71" ht="12.75" hidden="1">
      <c r="A71">
        <f>11-B46</f>
        <v>9.729289866745379</v>
      </c>
    </row>
    <row r="72" ht="12.75" hidden="1">
      <c r="A72">
        <f>A71/G56</f>
        <v>7.656576910916828</v>
      </c>
    </row>
    <row r="73" ht="12.75" hidden="1"/>
    <row r="74" ht="12.75" hidden="1"/>
    <row r="75" ht="12.75" hidden="1"/>
    <row r="76" spans="1:9" ht="12.75">
      <c r="A76" s="75"/>
      <c r="B76" s="75"/>
      <c r="C76" s="75"/>
      <c r="D76" s="75"/>
      <c r="E76" s="62" t="s">
        <v>109</v>
      </c>
      <c r="F76" s="104"/>
      <c r="G76" s="105"/>
      <c r="H76" s="114">
        <v>1.1</v>
      </c>
      <c r="I76" s="103" t="s">
        <v>108</v>
      </c>
    </row>
    <row r="77" spans="1:9" ht="12.75" hidden="1">
      <c r="A77" s="75"/>
      <c r="B77" s="75"/>
      <c r="C77" s="75"/>
      <c r="D77" s="75"/>
      <c r="E77" s="75" t="s">
        <v>105</v>
      </c>
      <c r="F77" s="75"/>
      <c r="G77" s="102">
        <f>G52*(1-SQRT(H76/G50))</f>
        <v>1.0408754897970667</v>
      </c>
      <c r="H77" s="75"/>
      <c r="I77" s="103"/>
    </row>
    <row r="78" spans="1:9" ht="12.75">
      <c r="A78" s="75"/>
      <c r="B78" s="75"/>
      <c r="C78" s="75"/>
      <c r="D78" s="75"/>
      <c r="E78" s="5" t="s">
        <v>110</v>
      </c>
      <c r="F78" s="5"/>
      <c r="G78" s="5"/>
      <c r="H78" s="115">
        <f>1000*G77/H76</f>
        <v>946.2504452700605</v>
      </c>
      <c r="I78" s="103" t="s">
        <v>107</v>
      </c>
    </row>
    <row r="79" spans="1:9" ht="12.75">
      <c r="A79" s="75"/>
      <c r="B79" s="75"/>
      <c r="C79" s="75"/>
      <c r="D79" s="75"/>
      <c r="E79" s="5" t="s">
        <v>111</v>
      </c>
      <c r="F79" s="5"/>
      <c r="G79" s="5"/>
      <c r="H79" s="115">
        <f>G51*((G52-G77)/G52)</f>
        <v>1.3405797310333714</v>
      </c>
      <c r="I79" s="103" t="s">
        <v>106</v>
      </c>
    </row>
    <row r="80" spans="1:9" ht="12.75">
      <c r="A80" s="75"/>
      <c r="B80" s="75"/>
      <c r="C80" s="75"/>
      <c r="D80" s="75"/>
      <c r="E80" s="106"/>
      <c r="F80" s="106"/>
      <c r="G80" s="106"/>
      <c r="H80" s="107"/>
      <c r="I80" s="108"/>
    </row>
    <row r="81" spans="1:9" ht="13.5" thickBot="1">
      <c r="A81" s="75"/>
      <c r="B81" s="75"/>
      <c r="C81" s="75"/>
      <c r="D81" s="75"/>
      <c r="E81" s="75"/>
      <c r="F81" s="75"/>
      <c r="G81" s="75"/>
      <c r="H81" s="75"/>
      <c r="I81" s="75"/>
    </row>
    <row r="82" spans="1:9" ht="15" thickBot="1" thickTop="1">
      <c r="A82" s="75"/>
      <c r="B82" s="118" t="s">
        <v>118</v>
      </c>
      <c r="C82" s="42"/>
      <c r="D82" s="42"/>
      <c r="E82" s="42"/>
      <c r="F82" s="42"/>
      <c r="G82" s="42"/>
      <c r="H82" s="42"/>
      <c r="I82" s="43"/>
    </row>
    <row r="83" spans="1:9" ht="15" thickBot="1" thickTop="1">
      <c r="A83" s="75"/>
      <c r="B83" s="42" t="s">
        <v>122</v>
      </c>
      <c r="C83" s="42"/>
      <c r="D83" s="42"/>
      <c r="E83" s="42"/>
      <c r="F83" s="42"/>
      <c r="G83" s="42"/>
      <c r="H83" s="43"/>
      <c r="I83" s="43"/>
    </row>
    <row r="84" spans="1:9" ht="15" thickBot="1" thickTop="1">
      <c r="A84" s="75"/>
      <c r="B84" s="42" t="s">
        <v>116</v>
      </c>
      <c r="C84" s="42"/>
      <c r="D84" s="42"/>
      <c r="E84" s="42"/>
      <c r="F84" s="42"/>
      <c r="G84" s="42"/>
      <c r="H84" s="42"/>
      <c r="I84" s="43"/>
    </row>
    <row r="85" spans="1:9" ht="15" thickBot="1" thickTop="1">
      <c r="A85" s="75"/>
      <c r="B85" s="79" t="s">
        <v>117</v>
      </c>
      <c r="C85" s="79"/>
      <c r="D85" s="79"/>
      <c r="E85" s="79"/>
      <c r="F85" s="79"/>
      <c r="G85" s="79"/>
      <c r="H85" s="79"/>
      <c r="I85" s="99"/>
    </row>
    <row r="86" spans="1:9" ht="15" thickBot="1" thickTop="1">
      <c r="A86" s="75"/>
      <c r="B86" s="42" t="s">
        <v>157</v>
      </c>
      <c r="C86" s="42"/>
      <c r="D86" s="42"/>
      <c r="E86" s="42"/>
      <c r="F86" s="42"/>
      <c r="G86" s="42"/>
      <c r="H86" s="42"/>
      <c r="I86" s="43"/>
    </row>
    <row r="87" spans="1:9" ht="15" thickBot="1" thickTop="1">
      <c r="A87" s="75"/>
      <c r="B87" s="42" t="s">
        <v>158</v>
      </c>
      <c r="C87" s="42"/>
      <c r="D87" s="42"/>
      <c r="E87" s="42"/>
      <c r="F87" s="42"/>
      <c r="G87" s="42"/>
      <c r="H87" s="42"/>
      <c r="I87" s="43"/>
    </row>
    <row r="88" spans="1:9" ht="15" thickBot="1" thickTop="1">
      <c r="A88" s="75"/>
      <c r="B88" s="42" t="s">
        <v>115</v>
      </c>
      <c r="C88" s="42"/>
      <c r="D88" s="42"/>
      <c r="E88" s="42"/>
      <c r="F88" s="42"/>
      <c r="G88" s="42"/>
      <c r="H88" s="42"/>
      <c r="I88" s="43"/>
    </row>
    <row r="89" spans="1:9" ht="13.5" thickTop="1">
      <c r="A89" s="75"/>
      <c r="B89" s="75"/>
      <c r="C89" s="75"/>
      <c r="D89" s="75"/>
      <c r="E89" s="75"/>
      <c r="F89" s="75"/>
      <c r="G89" s="75"/>
      <c r="H89" s="75"/>
      <c r="I89" s="75"/>
    </row>
    <row r="90" spans="1:9" ht="12.75">
      <c r="A90" s="75"/>
      <c r="B90" s="75"/>
      <c r="C90" s="75"/>
      <c r="D90" s="75"/>
      <c r="E90" s="75"/>
      <c r="F90" s="75"/>
      <c r="G90" s="75"/>
      <c r="H90" s="75"/>
      <c r="I90" s="75"/>
    </row>
    <row r="91" spans="1:9" ht="12.75">
      <c r="A91" s="75"/>
      <c r="B91" s="75"/>
      <c r="C91" s="75"/>
      <c r="D91" s="75"/>
      <c r="E91" s="75"/>
      <c r="F91" s="75"/>
      <c r="G91" s="75"/>
      <c r="H91" s="75"/>
      <c r="I91" s="75"/>
    </row>
    <row r="92" spans="1:9" ht="12.75">
      <c r="A92" s="75"/>
      <c r="B92" s="75"/>
      <c r="C92" s="75"/>
      <c r="D92" s="75"/>
      <c r="E92" s="75"/>
      <c r="F92" s="75"/>
      <c r="G92" s="75"/>
      <c r="H92" s="75"/>
      <c r="I92" s="75"/>
    </row>
    <row r="93" spans="1:9" ht="12.75">
      <c r="A93" s="76"/>
      <c r="I93" s="61"/>
    </row>
    <row r="94" spans="1:9" ht="12.75">
      <c r="A94" s="76"/>
      <c r="I94" s="61"/>
    </row>
    <row r="95" spans="1:9" ht="12.75">
      <c r="A95" s="76"/>
      <c r="I95" s="61"/>
    </row>
    <row r="96" spans="1:9" ht="12.75">
      <c r="A96" s="76"/>
      <c r="I96" s="61"/>
    </row>
    <row r="97" spans="1:9" ht="12.75">
      <c r="A97" s="76"/>
      <c r="I97" s="61"/>
    </row>
    <row r="98" spans="1:9" ht="12.75">
      <c r="A98" s="76"/>
      <c r="I98" s="61"/>
    </row>
    <row r="99" spans="1:9" ht="12.75">
      <c r="A99" s="76"/>
      <c r="I99" s="61"/>
    </row>
    <row r="100" spans="1:9" ht="12.75">
      <c r="A100" s="76"/>
      <c r="I100" s="61"/>
    </row>
    <row r="101" spans="1:9" ht="12.75">
      <c r="A101" s="76"/>
      <c r="I101" s="61"/>
    </row>
    <row r="102" spans="1:9" ht="12.75">
      <c r="A102" s="76"/>
      <c r="B102" s="83"/>
      <c r="C102" s="84"/>
      <c r="D102" s="84"/>
      <c r="E102" s="75"/>
      <c r="F102" s="75"/>
      <c r="G102" s="75"/>
      <c r="H102" s="75"/>
      <c r="I102" s="75"/>
    </row>
    <row r="103" spans="1:9" ht="13.5">
      <c r="A103" s="75"/>
      <c r="B103" s="122" t="s">
        <v>153</v>
      </c>
      <c r="C103" s="2"/>
      <c r="D103" s="3"/>
      <c r="E103" s="4"/>
      <c r="F103" s="80">
        <v>7</v>
      </c>
      <c r="G103" s="81"/>
      <c r="H103" s="81" t="s">
        <v>150</v>
      </c>
      <c r="I103" s="163">
        <f>A110*(A108-A109)/F105</f>
        <v>3.773121676944947</v>
      </c>
    </row>
    <row r="104" spans="1:9" ht="13.5">
      <c r="A104" s="75"/>
      <c r="B104" s="122" t="s">
        <v>154</v>
      </c>
      <c r="C104" s="2"/>
      <c r="D104" s="3"/>
      <c r="E104" s="4"/>
      <c r="F104" s="23">
        <v>6.9</v>
      </c>
      <c r="G104" s="14"/>
      <c r="H104" s="14" t="s">
        <v>145</v>
      </c>
      <c r="I104" s="164">
        <f>A110/(F104^2*I103)</f>
        <v>141.00719424460425</v>
      </c>
    </row>
    <row r="105" spans="1:13" ht="13.5">
      <c r="A105" s="75"/>
      <c r="B105" s="122" t="s">
        <v>155</v>
      </c>
      <c r="C105" s="2"/>
      <c r="D105" s="3"/>
      <c r="E105" s="4"/>
      <c r="F105" s="23">
        <v>4</v>
      </c>
      <c r="G105" s="14"/>
      <c r="H105" s="14" t="s">
        <v>147</v>
      </c>
      <c r="I105" s="165">
        <f>I104-F105</f>
        <v>137.00719424460425</v>
      </c>
      <c r="J105" s="71"/>
      <c r="K105" s="71"/>
      <c r="L105" s="71"/>
      <c r="M105" s="71"/>
    </row>
    <row r="106" spans="1:13" ht="13.5">
      <c r="A106" s="75"/>
      <c r="B106" s="122" t="s">
        <v>156</v>
      </c>
      <c r="C106" s="2"/>
      <c r="D106" s="3"/>
      <c r="E106" s="123">
        <f>ROUND(I105,0)-1</f>
        <v>136</v>
      </c>
      <c r="F106" s="26">
        <v>130</v>
      </c>
      <c r="G106" s="27" t="s">
        <v>151</v>
      </c>
      <c r="H106" s="27"/>
      <c r="I106" s="166">
        <f>I105-F106</f>
        <v>7.00719424460425</v>
      </c>
      <c r="J106" s="71"/>
      <c r="K106" s="71"/>
      <c r="L106" s="71"/>
      <c r="M106" s="71"/>
    </row>
    <row r="107" spans="1:13" ht="12.75">
      <c r="A107" s="75"/>
      <c r="B107" s="110" t="s">
        <v>152</v>
      </c>
      <c r="C107" s="111"/>
      <c r="D107" s="111"/>
      <c r="E107" s="111"/>
      <c r="F107" s="111"/>
      <c r="G107" s="111"/>
      <c r="H107" s="112"/>
      <c r="I107" s="115">
        <f>SQRT((25330.296/(I103*I106)))</f>
        <v>30.952636588840974</v>
      </c>
      <c r="J107" s="113"/>
      <c r="K107" s="71"/>
      <c r="L107" s="71"/>
      <c r="M107" s="71"/>
    </row>
    <row r="108" ht="12.75" hidden="1">
      <c r="A108" s="76">
        <f>1/$F$104^2</f>
        <v>0.021003990758244065</v>
      </c>
    </row>
    <row r="109" ht="12.75" hidden="1">
      <c r="A109" s="76">
        <f>1/$F$103^2</f>
        <v>0.02040816326530612</v>
      </c>
    </row>
    <row r="110" ht="12.75" hidden="1">
      <c r="A110" s="77">
        <f>(1/(2*PI())^2)*1000000</f>
        <v>25330.295910584446</v>
      </c>
    </row>
    <row r="111" spans="1:9" ht="12.75">
      <c r="A111" s="133" t="s">
        <v>125</v>
      </c>
      <c r="B111" s="140"/>
      <c r="C111" s="140"/>
      <c r="D111" s="140"/>
      <c r="E111" s="140"/>
      <c r="F111" s="140"/>
      <c r="G111" s="140"/>
      <c r="H111" s="140"/>
      <c r="I111" s="140"/>
    </row>
    <row r="112" spans="1:9" ht="12.75">
      <c r="A112" s="141" t="s">
        <v>124</v>
      </c>
      <c r="B112" s="142"/>
      <c r="C112" s="142"/>
      <c r="D112" s="142"/>
      <c r="E112" s="142"/>
      <c r="F112" s="142"/>
      <c r="G112" s="142"/>
      <c r="H112" s="142"/>
      <c r="I112" s="142"/>
    </row>
    <row r="113" spans="1:9" ht="13.5">
      <c r="A113" s="141" t="s">
        <v>126</v>
      </c>
      <c r="B113" s="142"/>
      <c r="C113" s="142"/>
      <c r="D113" s="142"/>
      <c r="E113" s="142"/>
      <c r="F113" s="143"/>
      <c r="G113" s="143"/>
      <c r="H113" s="143"/>
      <c r="I113" s="143"/>
    </row>
    <row r="114" spans="1:9" ht="12.75">
      <c r="A114" s="144" t="s">
        <v>127</v>
      </c>
      <c r="B114" s="109"/>
      <c r="C114" s="109"/>
      <c r="D114" s="109"/>
      <c r="E114" s="109"/>
      <c r="F114" s="145"/>
      <c r="G114" s="145"/>
      <c r="H114" s="145"/>
      <c r="I114" s="145"/>
    </row>
    <row r="115" spans="1:9" ht="12.75">
      <c r="A115" s="40" t="s">
        <v>128</v>
      </c>
      <c r="B115" s="138"/>
      <c r="C115" s="138"/>
      <c r="D115" s="138"/>
      <c r="E115" s="138"/>
      <c r="F115" s="146"/>
      <c r="G115" s="146"/>
      <c r="H115" s="146"/>
      <c r="I115" s="146"/>
    </row>
    <row r="116" spans="2:9" ht="13.5" thickBot="1">
      <c r="B116" s="75"/>
      <c r="C116" s="75"/>
      <c r="D116" s="75"/>
      <c r="E116" s="75"/>
      <c r="F116" s="75"/>
      <c r="G116" s="75"/>
      <c r="H116" s="75"/>
      <c r="I116" s="75"/>
    </row>
    <row r="117" spans="1:9" ht="17.25" thickBot="1" thickTop="1">
      <c r="A117" s="76"/>
      <c r="B117" s="86"/>
      <c r="C117" s="7" t="s">
        <v>7</v>
      </c>
      <c r="D117" s="8"/>
      <c r="E117" s="9"/>
      <c r="F117" s="9" t="s">
        <v>8</v>
      </c>
      <c r="G117" s="9"/>
      <c r="H117" s="10"/>
      <c r="I117" s="85"/>
    </row>
    <row r="118" spans="1:9" ht="14.25" thickTop="1">
      <c r="A118" s="76"/>
      <c r="B118" s="83"/>
      <c r="C118" s="89"/>
      <c r="D118" s="89"/>
      <c r="E118" s="90"/>
      <c r="F118" s="90"/>
      <c r="G118" s="90"/>
      <c r="H118" s="90"/>
      <c r="I118" s="61"/>
    </row>
    <row r="119" spans="1:9" ht="13.5">
      <c r="A119" s="75"/>
      <c r="B119" s="56" t="s">
        <v>9</v>
      </c>
      <c r="C119" s="11"/>
      <c r="D119" s="24"/>
      <c r="E119" s="24"/>
      <c r="F119" s="87"/>
      <c r="G119" s="88">
        <v>2000</v>
      </c>
      <c r="H119" s="169" t="s">
        <v>145</v>
      </c>
      <c r="I119" s="171">
        <f>INT((1/(E123*J123))*1000000000000)</f>
        <v>37</v>
      </c>
    </row>
    <row r="120" spans="1:9" ht="13.5">
      <c r="A120" s="75"/>
      <c r="B120" s="57" t="s">
        <v>11</v>
      </c>
      <c r="C120" s="2"/>
      <c r="D120" s="3"/>
      <c r="E120" s="3"/>
      <c r="F120" s="12"/>
      <c r="G120" s="13">
        <v>50</v>
      </c>
      <c r="H120" s="170" t="s">
        <v>146</v>
      </c>
      <c r="I120" s="171">
        <f>INT(((I124/E123)*1000000000))</f>
        <v>1685</v>
      </c>
    </row>
    <row r="121" spans="1:9" ht="13.5">
      <c r="A121" s="75"/>
      <c r="B121" s="57" t="s">
        <v>13</v>
      </c>
      <c r="C121" s="2"/>
      <c r="D121" s="3"/>
      <c r="E121" s="3"/>
      <c r="F121" s="12"/>
      <c r="G121" s="13">
        <v>10</v>
      </c>
      <c r="H121" s="170" t="s">
        <v>147</v>
      </c>
      <c r="I121" s="171">
        <f>INT((1/(E123*E124))*1000000000000)</f>
        <v>183</v>
      </c>
    </row>
    <row r="122" spans="1:9" ht="13.5">
      <c r="A122" s="75"/>
      <c r="B122" s="57" t="s">
        <v>15</v>
      </c>
      <c r="C122" s="2"/>
      <c r="D122" s="3"/>
      <c r="E122" s="3"/>
      <c r="F122" s="12"/>
      <c r="G122" s="13">
        <v>21.2</v>
      </c>
      <c r="H122" s="170" t="s">
        <v>16</v>
      </c>
      <c r="I122" s="171">
        <f>B123</f>
        <v>0.15811388300841897</v>
      </c>
    </row>
    <row r="123" spans="1:10" ht="13.5" hidden="1">
      <c r="A123" s="75"/>
      <c r="B123" s="73">
        <f>SQRT(G120/G119)</f>
        <v>0.15811388300841897</v>
      </c>
      <c r="C123" s="16" t="s">
        <v>17</v>
      </c>
      <c r="D123" s="17" t="s">
        <v>18</v>
      </c>
      <c r="E123" s="1">
        <f>PI()*2*G122*1000000</f>
        <v>133203528.51220721</v>
      </c>
      <c r="F123" t="s">
        <v>19</v>
      </c>
      <c r="G123" s="47">
        <f>G119/(G121*G121)</f>
        <v>20</v>
      </c>
      <c r="H123" t="s">
        <v>20</v>
      </c>
      <c r="I123" s="5">
        <f>G123*G121</f>
        <v>200</v>
      </c>
      <c r="J123">
        <f>G119/G121</f>
        <v>200</v>
      </c>
    </row>
    <row r="124" spans="1:9" ht="13.5" hidden="1">
      <c r="A124" s="75"/>
      <c r="B124" s="74" t="s">
        <v>21</v>
      </c>
      <c r="C124" s="18">
        <f>SQRT(G120/G123-1)</f>
        <v>1.224744871391589</v>
      </c>
      <c r="D124" s="19" t="s">
        <v>22</v>
      </c>
      <c r="E124" s="1">
        <f>G120/C124</f>
        <v>40.824829046386306</v>
      </c>
      <c r="F124" t="s">
        <v>23</v>
      </c>
      <c r="G124" s="47">
        <f>G123*C124</f>
        <v>24.49489742783178</v>
      </c>
      <c r="H124" t="s">
        <v>24</v>
      </c>
      <c r="I124" s="5">
        <f>I123+G124</f>
        <v>224.49489742783177</v>
      </c>
    </row>
    <row r="125" spans="1:9" ht="13.5">
      <c r="A125" s="75"/>
      <c r="B125" s="91" t="s">
        <v>25</v>
      </c>
      <c r="C125" s="25"/>
      <c r="D125" s="22"/>
      <c r="E125" s="22"/>
      <c r="F125" s="92"/>
      <c r="G125" s="20">
        <v>500</v>
      </c>
      <c r="H125" s="21" t="s">
        <v>148</v>
      </c>
      <c r="I125" s="172">
        <f>G125*I122</f>
        <v>79.05694150420949</v>
      </c>
    </row>
    <row r="126" spans="1:9" ht="12.75">
      <c r="A126" s="75"/>
      <c r="B126" s="57" t="s">
        <v>141</v>
      </c>
      <c r="C126" s="167"/>
      <c r="D126" s="167"/>
      <c r="E126" s="167"/>
      <c r="F126" s="12"/>
      <c r="G126" s="168"/>
      <c r="H126" s="174" t="s">
        <v>149</v>
      </c>
      <c r="I126" s="173">
        <f>I125^2/G120</f>
        <v>125.00000000000001</v>
      </c>
    </row>
    <row r="127" spans="1:9" ht="12.75">
      <c r="A127" s="75"/>
      <c r="B127" s="75"/>
      <c r="C127" s="75"/>
      <c r="D127" s="75"/>
      <c r="E127" s="75"/>
      <c r="F127" s="75"/>
      <c r="G127" s="75"/>
      <c r="H127" s="75"/>
      <c r="I127" s="75"/>
    </row>
    <row r="128" spans="1:8" ht="19.5">
      <c r="A128" s="75"/>
      <c r="B128" s="76"/>
      <c r="C128" s="101" t="s">
        <v>0</v>
      </c>
      <c r="D128" s="94"/>
      <c r="E128" s="94"/>
      <c r="F128" s="94"/>
      <c r="G128" s="94"/>
      <c r="H128" s="100"/>
    </row>
    <row r="129" spans="1:9" ht="13.5">
      <c r="A129" s="75"/>
      <c r="B129" s="56" t="s">
        <v>1</v>
      </c>
      <c r="C129" s="2"/>
      <c r="D129" s="3"/>
      <c r="E129" s="4"/>
      <c r="F129" s="61"/>
      <c r="G129" s="48">
        <v>400</v>
      </c>
      <c r="H129" s="5" t="s">
        <v>142</v>
      </c>
      <c r="I129" s="172">
        <f>159154.943/(G129*G130)</f>
        <v>10.15018769132653</v>
      </c>
    </row>
    <row r="130" spans="1:9" ht="13.5">
      <c r="A130" s="75"/>
      <c r="B130" s="57" t="s">
        <v>3</v>
      </c>
      <c r="C130" s="2"/>
      <c r="D130" s="3"/>
      <c r="E130" s="4"/>
      <c r="F130" s="61"/>
      <c r="G130" s="48">
        <v>39.2</v>
      </c>
      <c r="H130" s="5" t="s">
        <v>143</v>
      </c>
      <c r="I130" s="172">
        <f>159154.943/(G129*G131)</f>
        <v>39.20072487684729</v>
      </c>
    </row>
    <row r="131" spans="1:9" ht="13.5">
      <c r="A131" s="75"/>
      <c r="B131" s="57" t="s">
        <v>5</v>
      </c>
      <c r="C131" s="2"/>
      <c r="D131" s="3"/>
      <c r="E131" s="4"/>
      <c r="F131" s="61"/>
      <c r="G131" s="48">
        <v>10.15</v>
      </c>
      <c r="H131" s="5" t="s">
        <v>144</v>
      </c>
      <c r="I131" s="172">
        <f>159154.943/(G131*G130)</f>
        <v>400.0073967025233</v>
      </c>
    </row>
    <row r="132" spans="1:9" ht="12.75">
      <c r="A132" s="75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75"/>
      <c r="B133" s="61"/>
      <c r="C133" s="61"/>
      <c r="D133" s="61"/>
      <c r="E133" s="61"/>
      <c r="F133" s="61"/>
      <c r="G133" s="61"/>
      <c r="H133" s="61"/>
      <c r="I133" s="61"/>
    </row>
    <row r="134" spans="1:11" ht="15.75">
      <c r="A134" s="78" t="s">
        <v>92</v>
      </c>
      <c r="B134" s="55"/>
      <c r="C134" s="55"/>
      <c r="D134" s="55"/>
      <c r="E134" s="55"/>
      <c r="F134" s="55"/>
      <c r="G134" s="55"/>
      <c r="H134" s="55"/>
      <c r="I134" s="55"/>
      <c r="J134" s="72"/>
      <c r="K134" s="72"/>
    </row>
    <row r="135" spans="1:9" ht="12.75">
      <c r="A135" s="75"/>
      <c r="B135" s="61"/>
      <c r="C135" s="61"/>
      <c r="D135" s="61"/>
      <c r="E135" s="61"/>
      <c r="F135" s="61"/>
      <c r="G135" s="61"/>
      <c r="H135" s="61"/>
      <c r="I135" s="61"/>
    </row>
    <row r="136" spans="6:9" ht="12.75">
      <c r="F136" s="61"/>
      <c r="G136" s="61"/>
      <c r="H136" s="61"/>
      <c r="I136" s="61"/>
    </row>
    <row r="137" spans="6:9" ht="12.75">
      <c r="F137" s="61"/>
      <c r="G137" s="61"/>
      <c r="H137" s="61"/>
      <c r="I137" s="61"/>
    </row>
    <row r="138" spans="6:9" ht="12.75">
      <c r="F138" s="61"/>
      <c r="G138" s="61"/>
      <c r="H138" s="61"/>
      <c r="I138" s="61"/>
    </row>
    <row r="139" spans="6:9" ht="12.75">
      <c r="F139" s="61"/>
      <c r="G139" s="61"/>
      <c r="H139" s="61"/>
      <c r="I139" s="61"/>
    </row>
    <row r="140" spans="6:9" ht="12.75">
      <c r="F140" s="50" t="s">
        <v>93</v>
      </c>
      <c r="G140" s="51">
        <v>20</v>
      </c>
      <c r="H140" s="50"/>
      <c r="I140" s="50" t="s">
        <v>94</v>
      </c>
    </row>
    <row r="141" spans="6:9" ht="12.75">
      <c r="F141" s="50" t="s">
        <v>95</v>
      </c>
      <c r="G141" s="52">
        <v>50</v>
      </c>
      <c r="H141" s="50"/>
      <c r="I141" s="50" t="s">
        <v>96</v>
      </c>
    </row>
    <row r="142" spans="6:9" ht="12.75">
      <c r="F142" s="95"/>
      <c r="G142" s="96"/>
      <c r="H142" s="96"/>
      <c r="I142" s="97"/>
    </row>
    <row r="143" spans="6:9" ht="12.75">
      <c r="F143" s="53" t="s">
        <v>97</v>
      </c>
      <c r="G143" s="53">
        <f>G141*(G145-1)/(G145+1)</f>
        <v>40.90909090909091</v>
      </c>
      <c r="H143" s="53">
        <f>ROUND(G143,2)</f>
        <v>40.91</v>
      </c>
      <c r="I143" s="53" t="s">
        <v>96</v>
      </c>
    </row>
    <row r="144" spans="6:9" ht="12.75">
      <c r="F144" s="53" t="s">
        <v>98</v>
      </c>
      <c r="G144" s="53">
        <f>2*G145*G141/(G145^2-1)</f>
        <v>10.1010101010101</v>
      </c>
      <c r="H144" s="53">
        <f>ROUND(G144,2)</f>
        <v>10.1</v>
      </c>
      <c r="I144" s="53" t="s">
        <v>96</v>
      </c>
    </row>
    <row r="145" spans="6:9" ht="12.75">
      <c r="F145" s="53" t="s">
        <v>99</v>
      </c>
      <c r="G145" s="53">
        <f>10^(G140/20)</f>
        <v>10</v>
      </c>
      <c r="H145" s="53">
        <f>ROUND(G145,2)</f>
        <v>10</v>
      </c>
      <c r="I145" s="53" t="s">
        <v>100</v>
      </c>
    </row>
    <row r="146" spans="6:10" ht="12.75">
      <c r="F146" s="61"/>
      <c r="G146" s="98"/>
      <c r="H146" s="98"/>
      <c r="I146" s="98"/>
      <c r="J146" s="54"/>
    </row>
    <row r="147" spans="6:10" ht="12.75">
      <c r="F147" s="61"/>
      <c r="G147" s="98"/>
      <c r="H147" s="98"/>
      <c r="I147" s="98"/>
      <c r="J147" s="54"/>
    </row>
    <row r="148" spans="6:10" ht="12.75">
      <c r="F148" s="61"/>
      <c r="G148" s="98"/>
      <c r="H148" s="98"/>
      <c r="I148" s="98"/>
      <c r="J148" s="54"/>
    </row>
    <row r="149" spans="6:10" ht="12.75">
      <c r="F149" s="61"/>
      <c r="G149" s="98"/>
      <c r="H149" s="98"/>
      <c r="I149" s="98"/>
      <c r="J149" s="54"/>
    </row>
    <row r="150" spans="6:10" ht="12.75">
      <c r="F150" s="61"/>
      <c r="G150" s="98"/>
      <c r="H150" s="98"/>
      <c r="I150" s="98"/>
      <c r="J150" s="54"/>
    </row>
    <row r="151" spans="6:10" ht="12.75">
      <c r="F151" s="61"/>
      <c r="G151" s="98"/>
      <c r="H151" s="98"/>
      <c r="I151" s="98"/>
      <c r="J151" s="54"/>
    </row>
    <row r="152" spans="6:10" ht="12.75">
      <c r="F152" s="61"/>
      <c r="G152" s="98"/>
      <c r="H152" s="98"/>
      <c r="I152" s="98"/>
      <c r="J152" s="54"/>
    </row>
    <row r="153" spans="6:10" ht="12.75">
      <c r="F153" s="61"/>
      <c r="G153" s="98"/>
      <c r="H153" s="98"/>
      <c r="I153" s="98"/>
      <c r="J153" s="54"/>
    </row>
    <row r="154" spans="6:9" ht="12.75">
      <c r="F154" s="53" t="s">
        <v>101</v>
      </c>
      <c r="G154" s="53">
        <f>(G145^2-1)*G141/(2*G145)</f>
        <v>247.5</v>
      </c>
      <c r="H154" s="53">
        <f>ROUND(G154,2)</f>
        <v>247.5</v>
      </c>
      <c r="I154" s="53" t="s">
        <v>96</v>
      </c>
    </row>
    <row r="155" spans="6:9" ht="12.75">
      <c r="F155" s="53" t="s">
        <v>102</v>
      </c>
      <c r="G155" s="53">
        <f>(G145+1)*G141/(G145-1)</f>
        <v>61.111111111111114</v>
      </c>
      <c r="H155" s="53">
        <f>ROUND(G155,2)</f>
        <v>61.11</v>
      </c>
      <c r="I155" s="53" t="s">
        <v>96</v>
      </c>
    </row>
    <row r="156" spans="6:9" ht="12.75">
      <c r="F156" s="61"/>
      <c r="G156" s="61"/>
      <c r="H156" s="61"/>
      <c r="I156" s="61"/>
    </row>
    <row r="157" spans="6:9" ht="12.75">
      <c r="F157" s="61"/>
      <c r="G157" s="61"/>
      <c r="H157" s="61"/>
      <c r="I157" s="61"/>
    </row>
    <row r="158" spans="6:9" ht="12.75">
      <c r="F158" s="61"/>
      <c r="G158" s="61"/>
      <c r="H158" s="61"/>
      <c r="I158" s="61"/>
    </row>
    <row r="159" spans="6:9" ht="12.75">
      <c r="F159" s="61"/>
      <c r="G159" s="61"/>
      <c r="H159" s="61"/>
      <c r="I159" s="61"/>
    </row>
    <row r="160" spans="6:9" ht="12.75">
      <c r="F160" s="61"/>
      <c r="G160" s="61"/>
      <c r="H160" s="61"/>
      <c r="I160" s="61"/>
    </row>
    <row r="161" spans="1:9" ht="12.75">
      <c r="A161" s="133" t="s">
        <v>133</v>
      </c>
      <c r="B161" s="134"/>
      <c r="C161" s="134"/>
      <c r="D161" s="134"/>
      <c r="E161" s="134"/>
      <c r="F161" s="134"/>
      <c r="G161" s="134"/>
      <c r="H161" s="134"/>
      <c r="I161" s="135"/>
    </row>
    <row r="162" spans="1:9" ht="12.75">
      <c r="A162" s="136" t="s">
        <v>134</v>
      </c>
      <c r="B162" s="109"/>
      <c r="C162" s="109"/>
      <c r="D162" s="109"/>
      <c r="E162" s="109"/>
      <c r="F162" s="109"/>
      <c r="G162" s="109"/>
      <c r="H162" s="109"/>
      <c r="I162" s="137"/>
    </row>
    <row r="163" spans="1:9" ht="12.75">
      <c r="A163" s="40"/>
      <c r="B163" s="138"/>
      <c r="C163" s="138"/>
      <c r="D163" s="138"/>
      <c r="E163" s="138"/>
      <c r="F163" s="138"/>
      <c r="G163" s="138"/>
      <c r="H163" s="138"/>
      <c r="I163" s="139"/>
    </row>
  </sheetData>
  <sheetProtection password="C7EA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SHCH-9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Vic</cp:lastModifiedBy>
  <cp:lastPrinted>2005-08-27T13:55:59Z</cp:lastPrinted>
  <dcterms:created xsi:type="dcterms:W3CDTF">2005-04-11T09:35:43Z</dcterms:created>
  <dcterms:modified xsi:type="dcterms:W3CDTF">2005-10-14T16:54:56Z</dcterms:modified>
  <cp:category/>
  <cp:version/>
  <cp:contentType/>
  <cp:contentStatus/>
</cp:coreProperties>
</file>